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F185" i="1" l="1"/>
  <c r="F50" i="1" l="1"/>
  <c r="H387" i="1" l="1"/>
  <c r="H389" i="1"/>
  <c r="H392" i="1"/>
  <c r="F439" i="1"/>
  <c r="J96" i="1"/>
  <c r="F459" i="1"/>
  <c r="J468" i="1"/>
  <c r="J465" i="1"/>
  <c r="J472" i="1"/>
  <c r="F502" i="1" l="1"/>
  <c r="F501" i="1"/>
  <c r="F499" i="1"/>
  <c r="G507" i="1"/>
  <c r="C10" i="12" l="1"/>
  <c r="C11" i="12" l="1"/>
  <c r="B11" i="12"/>
  <c r="C37" i="12"/>
  <c r="B39" i="12"/>
  <c r="B37" i="12"/>
  <c r="C19" i="12"/>
  <c r="B19" i="12"/>
  <c r="B21" i="12" s="1"/>
  <c r="B10" i="12"/>
  <c r="C28" i="12"/>
  <c r="C30" i="12"/>
  <c r="B30" i="12"/>
  <c r="C21" i="12"/>
  <c r="G613" i="1" l="1"/>
  <c r="F613" i="1"/>
  <c r="G612" i="1"/>
  <c r="F612" i="1"/>
  <c r="G611" i="1"/>
  <c r="F611" i="1"/>
  <c r="G567" i="1"/>
  <c r="G562" i="1"/>
  <c r="H575" i="1"/>
  <c r="H208" i="1"/>
  <c r="H244" i="1" l="1"/>
  <c r="J593" i="1"/>
  <c r="H226" i="1"/>
  <c r="J243" i="1"/>
  <c r="I243" i="1"/>
  <c r="H243" i="1"/>
  <c r="G243" i="1"/>
  <c r="F243" i="1"/>
  <c r="I207" i="1"/>
  <c r="H207" i="1"/>
  <c r="G207" i="1"/>
  <c r="F207" i="1"/>
  <c r="J595" i="1" l="1"/>
  <c r="H154" i="1"/>
  <c r="H110" i="1"/>
  <c r="H155" i="1"/>
  <c r="H156" i="1"/>
  <c r="G158" i="1"/>
  <c r="G132" i="1"/>
  <c r="G97" i="1"/>
  <c r="H320" i="1"/>
  <c r="F320" i="1"/>
  <c r="H315" i="1"/>
  <c r="H316" i="1"/>
  <c r="I314" i="1"/>
  <c r="H314" i="1"/>
  <c r="H358" i="1"/>
  <c r="H360" i="1"/>
  <c r="H359" i="1"/>
  <c r="H302" i="1"/>
  <c r="H301" i="1"/>
  <c r="H295" i="1"/>
  <c r="H283" i="1"/>
  <c r="H282" i="1"/>
  <c r="H281" i="1"/>
  <c r="H277" i="1"/>
  <c r="H276" i="1"/>
  <c r="K263" i="1" l="1"/>
  <c r="K261" i="1"/>
  <c r="K260" i="1"/>
  <c r="H241" i="1"/>
  <c r="H240" i="1"/>
  <c r="H239" i="1"/>
  <c r="H238" i="1"/>
  <c r="H236" i="1"/>
  <c r="I235" i="1"/>
  <c r="H235" i="1"/>
  <c r="H234" i="1"/>
  <c r="H233" i="1"/>
  <c r="H222" i="1"/>
  <c r="H221" i="1"/>
  <c r="H216" i="1"/>
  <c r="I208" i="1"/>
  <c r="H205" i="1"/>
  <c r="H204" i="1"/>
  <c r="H203" i="1"/>
  <c r="H202" i="1"/>
  <c r="G200" i="1"/>
  <c r="H198" i="1"/>
  <c r="H197" i="1"/>
  <c r="F68" i="1" l="1"/>
  <c r="F110" i="1"/>
  <c r="G24" i="1"/>
  <c r="G14" i="1"/>
  <c r="H28" i="1"/>
  <c r="F28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E13" i="13" s="1"/>
  <c r="C13" i="13" s="1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E122" i="2" s="1"/>
  <c r="L305" i="1"/>
  <c r="L306" i="1"/>
  <c r="L307" i="1"/>
  <c r="L314" i="1"/>
  <c r="L315" i="1"/>
  <c r="L316" i="1"/>
  <c r="L317" i="1"/>
  <c r="E112" i="2" s="1"/>
  <c r="L319" i="1"/>
  <c r="L320" i="1"/>
  <c r="L321" i="1"/>
  <c r="L322" i="1"/>
  <c r="E121" i="2" s="1"/>
  <c r="L323" i="1"/>
  <c r="L324" i="1"/>
  <c r="L325" i="1"/>
  <c r="L326" i="1"/>
  <c r="L333" i="1"/>
  <c r="L334" i="1"/>
  <c r="L335" i="1"/>
  <c r="L260" i="1"/>
  <c r="H25" i="13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2" i="1"/>
  <c r="I147" i="1"/>
  <c r="I162" i="1"/>
  <c r="C19" i="10"/>
  <c r="L250" i="1"/>
  <c r="L332" i="1"/>
  <c r="L254" i="1"/>
  <c r="C25" i="10"/>
  <c r="L268" i="1"/>
  <c r="L269" i="1"/>
  <c r="C143" i="2" s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E119" i="2"/>
  <c r="C122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F408" i="1" s="1"/>
  <c r="H643" i="1" s="1"/>
  <c r="J643" i="1" s="1"/>
  <c r="G393" i="1"/>
  <c r="G408" i="1" s="1"/>
  <c r="H645" i="1" s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G641" i="1"/>
  <c r="H641" i="1"/>
  <c r="G643" i="1"/>
  <c r="G644" i="1"/>
  <c r="G650" i="1"/>
  <c r="G652" i="1"/>
  <c r="H652" i="1"/>
  <c r="G653" i="1"/>
  <c r="H653" i="1"/>
  <c r="G654" i="1"/>
  <c r="H654" i="1"/>
  <c r="H655" i="1"/>
  <c r="F192" i="1"/>
  <c r="L256" i="1"/>
  <c r="C26" i="10"/>
  <c r="L351" i="1"/>
  <c r="C70" i="2"/>
  <c r="D18" i="13"/>
  <c r="C18" i="13" s="1"/>
  <c r="D17" i="13"/>
  <c r="C17" i="13" s="1"/>
  <c r="F78" i="2"/>
  <c r="F81" i="2" s="1"/>
  <c r="D31" i="2"/>
  <c r="E103" i="2"/>
  <c r="E62" i="2"/>
  <c r="E63" i="2" s="1"/>
  <c r="D19" i="13"/>
  <c r="C19" i="13" s="1"/>
  <c r="E78" i="2"/>
  <c r="E81" i="2" s="1"/>
  <c r="L427" i="1"/>
  <c r="H112" i="1"/>
  <c r="J641" i="1"/>
  <c r="J571" i="1"/>
  <c r="K571" i="1"/>
  <c r="L433" i="1"/>
  <c r="I169" i="1"/>
  <c r="H169" i="1"/>
  <c r="G552" i="1"/>
  <c r="G476" i="1"/>
  <c r="H623" i="1" s="1"/>
  <c r="J623" i="1" s="1"/>
  <c r="J140" i="1"/>
  <c r="I552" i="1"/>
  <c r="G22" i="2"/>
  <c r="K545" i="1"/>
  <c r="C29" i="10"/>
  <c r="H140" i="1"/>
  <c r="L401" i="1"/>
  <c r="C139" i="2" s="1"/>
  <c r="F22" i="13"/>
  <c r="J640" i="1"/>
  <c r="H192" i="1"/>
  <c r="E16" i="13"/>
  <c r="I571" i="1"/>
  <c r="G36" i="2"/>
  <c r="K551" i="1"/>
  <c r="C22" i="13"/>
  <c r="C16" i="13"/>
  <c r="L534" i="1" l="1"/>
  <c r="L393" i="1"/>
  <c r="C138" i="2" s="1"/>
  <c r="J476" i="1"/>
  <c r="H626" i="1" s="1"/>
  <c r="J639" i="1"/>
  <c r="I460" i="1"/>
  <c r="I461" i="1" s="1"/>
  <c r="H642" i="1" s="1"/>
  <c r="J655" i="1"/>
  <c r="G625" i="1"/>
  <c r="J625" i="1" s="1"/>
  <c r="I446" i="1"/>
  <c r="G642" i="1" s="1"/>
  <c r="F18" i="2"/>
  <c r="K500" i="1"/>
  <c r="K503" i="1"/>
  <c r="L614" i="1"/>
  <c r="H571" i="1"/>
  <c r="J552" i="1"/>
  <c r="G545" i="1"/>
  <c r="L544" i="1"/>
  <c r="H545" i="1"/>
  <c r="K550" i="1"/>
  <c r="K549" i="1"/>
  <c r="F552" i="1"/>
  <c r="L524" i="1"/>
  <c r="L565" i="1"/>
  <c r="L560" i="1"/>
  <c r="A40" i="12"/>
  <c r="A31" i="12"/>
  <c r="A13" i="12"/>
  <c r="I257" i="1"/>
  <c r="I271" i="1" s="1"/>
  <c r="J651" i="1"/>
  <c r="K598" i="1"/>
  <c r="G647" i="1" s="1"/>
  <c r="G645" i="1"/>
  <c r="J645" i="1" s="1"/>
  <c r="E120" i="2"/>
  <c r="L328" i="1"/>
  <c r="E111" i="2"/>
  <c r="G338" i="1"/>
  <c r="G352" i="1" s="1"/>
  <c r="F338" i="1"/>
  <c r="F352" i="1" s="1"/>
  <c r="J634" i="1"/>
  <c r="G661" i="1"/>
  <c r="F661" i="1"/>
  <c r="H661" i="1"/>
  <c r="D29" i="13"/>
  <c r="C29" i="13" s="1"/>
  <c r="D127" i="2"/>
  <c r="D128" i="2" s="1"/>
  <c r="D145" i="2" s="1"/>
  <c r="L362" i="1"/>
  <c r="C27" i="10" s="1"/>
  <c r="J622" i="1"/>
  <c r="E123" i="2"/>
  <c r="L290" i="1"/>
  <c r="E118" i="2"/>
  <c r="H338" i="1"/>
  <c r="H352" i="1" s="1"/>
  <c r="C131" i="2"/>
  <c r="C25" i="13"/>
  <c r="H33" i="13"/>
  <c r="H662" i="1"/>
  <c r="D14" i="13"/>
  <c r="C14" i="13" s="1"/>
  <c r="C120" i="2"/>
  <c r="E8" i="13"/>
  <c r="C8" i="13" s="1"/>
  <c r="C13" i="10"/>
  <c r="C110" i="2"/>
  <c r="K257" i="1"/>
  <c r="K271" i="1" s="1"/>
  <c r="C10" i="10"/>
  <c r="G662" i="1"/>
  <c r="H647" i="1"/>
  <c r="J257" i="1"/>
  <c r="J271" i="1" s="1"/>
  <c r="D7" i="13"/>
  <c r="C7" i="13" s="1"/>
  <c r="C112" i="2"/>
  <c r="H257" i="1"/>
  <c r="H271" i="1" s="1"/>
  <c r="C11" i="10"/>
  <c r="G257" i="1"/>
  <c r="G271" i="1" s="1"/>
  <c r="C109" i="2"/>
  <c r="E110" i="2"/>
  <c r="D12" i="13"/>
  <c r="C12" i="13" s="1"/>
  <c r="C119" i="2"/>
  <c r="J338" i="1"/>
  <c r="J352" i="1" s="1"/>
  <c r="E124" i="2"/>
  <c r="C20" i="10"/>
  <c r="K338" i="1"/>
  <c r="K352" i="1" s="1"/>
  <c r="C17" i="10"/>
  <c r="L309" i="1"/>
  <c r="E109" i="2"/>
  <c r="C18" i="10"/>
  <c r="C121" i="2"/>
  <c r="C16" i="10"/>
  <c r="L247" i="1"/>
  <c r="C12" i="10"/>
  <c r="F662" i="1"/>
  <c r="C21" i="10"/>
  <c r="G649" i="1"/>
  <c r="J649" i="1" s="1"/>
  <c r="C124" i="2"/>
  <c r="D15" i="13"/>
  <c r="C15" i="13" s="1"/>
  <c r="C123" i="2"/>
  <c r="L211" i="1"/>
  <c r="D5" i="13"/>
  <c r="C5" i="13" s="1"/>
  <c r="C111" i="2"/>
  <c r="C115" i="2" s="1"/>
  <c r="C85" i="2"/>
  <c r="C91" i="2" s="1"/>
  <c r="C81" i="2"/>
  <c r="C62" i="2"/>
  <c r="C63" i="2" s="1"/>
  <c r="F112" i="1"/>
  <c r="C35" i="10"/>
  <c r="C56" i="2"/>
  <c r="G624" i="1"/>
  <c r="J624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G50" i="2"/>
  <c r="G51" i="2" s="1"/>
  <c r="J652" i="1"/>
  <c r="G571" i="1"/>
  <c r="I434" i="1"/>
  <c r="G434" i="1"/>
  <c r="E104" i="2"/>
  <c r="I663" i="1"/>
  <c r="E33" i="13" l="1"/>
  <c r="D35" i="13" s="1"/>
  <c r="L408" i="1"/>
  <c r="G637" i="1" s="1"/>
  <c r="J637" i="1" s="1"/>
  <c r="J642" i="1"/>
  <c r="I193" i="1"/>
  <c r="G630" i="1" s="1"/>
  <c r="J630" i="1" s="1"/>
  <c r="K552" i="1"/>
  <c r="L545" i="1"/>
  <c r="L571" i="1"/>
  <c r="J647" i="1"/>
  <c r="G104" i="2"/>
  <c r="H660" i="1"/>
  <c r="H664" i="1" s="1"/>
  <c r="H672" i="1" s="1"/>
  <c r="C6" i="10" s="1"/>
  <c r="I661" i="1"/>
  <c r="G635" i="1"/>
  <c r="J635" i="1" s="1"/>
  <c r="E128" i="2"/>
  <c r="F660" i="1"/>
  <c r="F664" i="1" s="1"/>
  <c r="F672" i="1" s="1"/>
  <c r="C4" i="10" s="1"/>
  <c r="E115" i="2"/>
  <c r="I662" i="1"/>
  <c r="H648" i="1"/>
  <c r="J648" i="1" s="1"/>
  <c r="D31" i="13"/>
  <c r="C31" i="13" s="1"/>
  <c r="L338" i="1"/>
  <c r="L352" i="1" s="1"/>
  <c r="G633" i="1" s="1"/>
  <c r="J633" i="1" s="1"/>
  <c r="C104" i="2"/>
  <c r="F193" i="1"/>
  <c r="G627" i="1" s="1"/>
  <c r="J627" i="1" s="1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67" i="1"/>
  <c r="E145" i="2"/>
  <c r="F667" i="1"/>
  <c r="C41" i="10"/>
  <c r="D38" i="10" s="1"/>
  <c r="D37" i="10" l="1"/>
  <c r="D36" i="10"/>
  <c r="D35" i="10"/>
  <c r="D40" i="10"/>
  <c r="D39" i="10"/>
  <c r="D41" i="10" l="1"/>
  <c r="F229" i="1" l="1"/>
  <c r="F257" i="1" s="1"/>
  <c r="F271" i="1" s="1"/>
  <c r="L220" i="1"/>
  <c r="C15" i="10" s="1"/>
  <c r="C28" i="10" l="1"/>
  <c r="D6" i="13"/>
  <c r="C118" i="2"/>
  <c r="C128" i="2" s="1"/>
  <c r="C145" i="2" s="1"/>
  <c r="L229" i="1"/>
  <c r="D27" i="10" l="1"/>
  <c r="D24" i="10"/>
  <c r="D25" i="10"/>
  <c r="D21" i="10"/>
  <c r="D18" i="10"/>
  <c r="D12" i="10"/>
  <c r="D10" i="10"/>
  <c r="D16" i="10"/>
  <c r="D23" i="10"/>
  <c r="D17" i="10"/>
  <c r="D20" i="10"/>
  <c r="D13" i="10"/>
  <c r="C30" i="10"/>
  <c r="D11" i="10"/>
  <c r="D19" i="10"/>
  <c r="D22" i="10"/>
  <c r="D26" i="10"/>
  <c r="C6" i="13"/>
  <c r="D33" i="13"/>
  <c r="D36" i="13" s="1"/>
  <c r="L257" i="1"/>
  <c r="L271" i="1" s="1"/>
  <c r="G632" i="1" s="1"/>
  <c r="G660" i="1"/>
  <c r="D15" i="10"/>
  <c r="H656" i="1" l="1"/>
  <c r="J632" i="1"/>
  <c r="D28" i="10"/>
  <c r="I660" i="1"/>
  <c r="I664" i="1" s="1"/>
  <c r="G664" i="1"/>
  <c r="G672" i="1" l="1"/>
  <c r="C5" i="10" s="1"/>
  <c r="G667" i="1"/>
  <c r="I667" i="1"/>
  <c r="I672" i="1"/>
  <c r="C7" i="10" s="1"/>
  <c r="B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<sst xmlns="http://schemas.openxmlformats.org/spreadsheetml/2006/main" count="3956" uniqueCount="914">
  <si>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</si>
  <si>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</si>
  <si>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</si>
  <si>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</si>
  <si>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</si>
  <si>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</si>
  <si>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</si>
  <si>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</si>
  <si>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</si>
  <si>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</si>
  <si>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</si>
  <si>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</si>
  <si>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</si>
  <si>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</si>
  <si>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</si>
  <si>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</si>
  <si>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</si>
  <si>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</si>
  <si>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</si>
  <si>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</si>
  <si>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</si>
  <si>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</si>
  <si>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</si>
  <si>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</si>
  <si>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</si>
  <si>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</si>
  <si>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</si>
  <si>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</si>
  <si>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</si>
  <si>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</si>
  <si>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</si>
  <si>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</si>
  <si>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</si>
  <si>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</si>
  <si>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</si>
  <si>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</si>
  <si>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</si>
  <si>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</si>
  <si>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</si>
  <si>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</si>
  <si>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</si>
  <si>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</si>
  <si>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</si>
  <si>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</si>
  <si>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</si>
  <si>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</si>
  <si>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</si>
  <si>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</si>
  <si>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</si>
  <si>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</si>
  <si>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</si>
  <si>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</si>
  <si>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</si>
  <si>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</si>
  <si>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</si>
  <si>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</si>
  <si>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</si>
  <si>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</si>
  <si>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</si>
  <si>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</si>
  <si>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</si>
  <si>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</si>
  <si>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</si>
  <si>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</si>
  <si>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</si>
  <si>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</si>
  <si>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</si>
  <si>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</si>
  <si>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</si>
  <si>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</si>
  <si>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</si>
  <si>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</si>
  <si>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</si>
  <si>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</si>
  <si>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</si>
  <si>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</si>
  <si>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</si>
  <si>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</si>
  <si>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</si>
  <si>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</si>
  <si>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</si>
  <si>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</si>
  <si>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</si>
  <si>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</si>
  <si>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</si>
  <si>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</si>
  <si>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</si>
  <si>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</si>
  <si>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</si>
  <si>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</si>
  <si>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</si>
  <si>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</si>
  <si>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</si>
  <si>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</si>
  <si>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</si>
  <si>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</si>
  <si>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</si>
  <si>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</si>
  <si>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</si>
  <si>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</si>
  <si>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</si>
  <si>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</si>
  <si>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</si>
  <si>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</si>
  <si>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</si>
  <si>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</si>
  <si>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</si>
  <si>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</si>
  <si>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</si>
  <si>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</si>
  <si>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</si>
  <si>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</si>
  <si>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</si>
  <si>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</si>
  <si>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</si>
  <si>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</si>
  <si>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</si>
  <si>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</si>
  <si>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</si>
  <si>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</si>
  <si>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</si>
  <si>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</si>
  <si>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</si>
  <si>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</si>
  <si>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</si>
  <si>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</si>
  <si>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</si>
  <si>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</si>
  <si>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</si>
  <si>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</si>
  <si>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</si>
  <si>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</si>
  <si>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</si>
  <si>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</si>
  <si>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</si>
  <si>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</si>
  <si>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</si>
  <si>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</si>
  <si>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</si>
  <si>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</si>
  <si>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</si>
  <si>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</si>
  <si>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</si>
  <si>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</si>
  <si>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</si>
  <si>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</si>
  <si>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</si>
  <si>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</si>
  <si>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</si>
  <si>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</si>
  <si>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</si>
  <si>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</si>
  <si>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</si>
  <si>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</si>
  <si>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</si>
  <si>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</si>
  <si>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</si>
  <si>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</si>
  <si>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</si>
  <si>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</si>
  <si>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</si>
  <si>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</si>
  <si>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</si>
  <si>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</si>
  <si>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</si>
  <si>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</si>
  <si>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</si>
  <si>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</si>
  <si>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</si>
  <si>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</si>
  <si>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</si>
  <si>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</si>
  <si>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</si>
  <si>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</si>
  <si>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</si>
  <si>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</si>
  <si>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</si>
  <si>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</si>
  <si>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</si>
  <si>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</si>
  <si>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</si>
  <si>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</si>
  <si>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</si>
  <si>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</si>
  <si>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</si>
  <si>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</si>
  <si>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</si>
  <si>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</si>
  <si>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</si>
  <si>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</si>
  <si>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</si>
  <si>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</si>
  <si>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</si>
  <si>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</si>
  <si>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</si>
  <si>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</si>
  <si>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</si>
  <si>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</si>
  <si>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</si>
  <si>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</si>
  <si>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</si>
  <si>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</si>
  <si>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</si>
  <si>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</si>
  <si>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</si>
  <si>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</si>
  <si>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</si>
  <si>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</si>
  <si>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</si>
  <si>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</si>
  <si>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</si>
  <si>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</si>
  <si>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</si>
  <si>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</si>
  <si>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</si>
  <si>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</si>
  <si>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</si>
  <si>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</si>
  <si>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</si>
  <si>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</si>
  <si>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</si>
  <si>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</si>
  <si>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</si>
  <si>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</si>
  <si>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</si>
  <si>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</si>
  <si>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</si>
  <si>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</si>
  <si>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</si>
  <si>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</si>
  <si>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</si>
  <si>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</si>
  <si>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</si>
  <si>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</si>
  <si>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</si>
  <si>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</si>
  <si>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</si>
  <si>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</si>
  <si>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</si>
  <si>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</si>
  <si>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</si>
  <si>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</si>
  <si>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</si>
  <si>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</si>
  <si>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</si>
  <si>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</si>
  <si>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</si>
  <si>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</si>
  <si>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</si>
  <si>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</si>
  <si>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</si>
  <si>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</si>
  <si>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</si>
  <si>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</si>
  <si>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</si>
  <si>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</si>
  <si>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</si>
  <si>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</si>
  <si>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</si>
  <si>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</si>
  <si>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</si>
  <si>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</si>
  <si>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</si>
  <si>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</si>
  <si>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</si>
  <si>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</si>
  <si>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</si>
  <si>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</si>
  <si>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</si>
  <si>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</si>
  <si>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</si>
  <si>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</si>
  <si>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</si>
  <si>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</si>
  <si>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</si>
  <si>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</si>
  <si>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</si>
  <si>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</si>
  <si>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</si>
  <si>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</si>
  <si>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</si>
  <si>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</si>
  <si>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</si>
  <si>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</si>
  <si>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</si>
  <si>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</si>
  <si>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</si>
  <si>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</si>
  <si>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</si>
  <si>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</si>
  <si>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</si>
  <si>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</si>
  <si>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</si>
  <si>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</si>
  <si>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</si>
  <si>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</si>
  <si>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</si>
  <si>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</si>
  <si>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</si>
  <si>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</si>
  <si>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</si>
  <si>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</si>
  <si>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</si>
  <si>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</si>
  <si>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</si>
  <si>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</si>
  <si>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</si>
  <si>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</si>
  <si>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</si>
  <si>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</si>
  <si>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</si>
  <si>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</si>
  <si>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</si>
  <si>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</si>
  <si>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</si>
  <si>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</si>
  <si>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</si>
  <si>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</si>
  <si>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</si>
  <si>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</si>
  <si>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</si>
  <si>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</si>
  <si>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</si>
  <si>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</si>
  <si>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</si>
  <si>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</si>
  <si>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</si>
  <si>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</si>
  <si>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</si>
  <si>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</si>
  <si>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</si>
  <si>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</si>
  <si>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</si>
  <si>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</si>
  <si>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</si>
  <si>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</si>
  <si>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</si>
  <si>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</si>
  <si>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</si>
  <si>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</si>
  <si>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</si>
  <si>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</si>
  <si>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</si>
  <si>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</si>
  <si>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</si>
  <si>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</si>
  <si>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</si>
  <si>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</si>
  <si>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</si>
  <si>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</si>
  <si>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</si>
  <si>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</si>
  <si>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</si>
  <si>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</si>
  <si>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</si>
  <si>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</si>
  <si>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</si>
  <si>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</si>
  <si>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</si>
  <si>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</si>
  <si>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</si>
  <si>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</si>
  <si>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</si>
  <si>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</si>
  <si>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</si>
  <si>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</si>
  <si>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</si>
  <si>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</si>
  <si>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</si>
  <si>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</si>
  <si>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</si>
  <si>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</si>
  <si>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</si>
  <si>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</si>
  <si>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</si>
  <si>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</si>
  <si>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</si>
  <si>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</si>
  <si>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</si>
  <si>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</si>
  <si>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</si>
  <si>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</si>
  <si>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</si>
  <si>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</si>
  <si>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</si>
  <si>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</si>
  <si>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</si>
  <si>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</si>
  <si>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</si>
  <si>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</si>
  <si>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</si>
  <si>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</si>
  <si>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</si>
  <si>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</si>
  <si>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</si>
  <si>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</si>
  <si>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</si>
  <si>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</si>
  <si>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</si>
  <si>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</si>
  <si>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</si>
  <si>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</si>
  <si>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</si>
  <si>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</si>
  <si>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</si>
  <si>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</si>
  <si>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</si>
  <si>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</si>
  <si>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</si>
  <si>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</si>
  <si>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</si>
  <si>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</si>
  <si>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</si>
  <si>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</si>
  <si>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</si>
  <si>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</si>
  <si>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</si>
  <si>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</si>
  <si>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</si>
  <si>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</si>
  <si>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</si>
  <si>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</si>
  <si>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</si>
  <si>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</si>
  <si>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</si>
  <si>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</si>
  <si>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</si>
  <si>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</si>
  <si>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</si>
  <si>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</si>
  <si>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</si>
  <si>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</si>
  <si>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</si>
  <si>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</si>
  <si>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</si>
  <si>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</si>
  <si>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</si>
  <si>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</si>
  <si>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</si>
  <si>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</si>
  <si>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</si>
  <si>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</si>
  <si>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</si>
  <si>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</si>
  <si>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</si>
  <si>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</si>
  <si>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</si>
  <si>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</si>
  <si>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</si>
  <si>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</si>
  <si>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</si>
  <si>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</si>
  <si>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</si>
  <si>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</si>
  <si>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</si>
  <si>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</si>
  <si>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</si>
  <si>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</si>
  <si>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</si>
  <si>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</si>
  <si>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</si>
  <si>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</si>
  <si>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</si>
  <si>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</si>
  <si>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</si>
  <si>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</si>
  <si>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</si>
  <si>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</si>
  <si>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</si>
  <si>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</si>
  <si>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</si>
  <si>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</si>
  <si>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</si>
  <si>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</si>
  <si>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</si>
  <si>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</si>
  <si>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</si>
  <si>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</si>
  <si>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</si>
  <si>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</si>
  <si>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</si>
  <si>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</si>
  <si>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</si>
  <si>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</si>
  <si>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</si>
  <si>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</si>
  <si>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</si>
  <si>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</si>
  <si>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</si>
  <si>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</si>
  <si>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</si>
  <si>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</si>
  <si>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</si>
  <si>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</si>
  <si>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</si>
  <si>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</si>
  <si>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</si>
  <si>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</si>
  <si>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</si>
  <si>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</si>
  <si>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</si>
  <si>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</si>
  <si>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</si>
  <si>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</si>
  <si>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</si>
  <si>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</si>
  <si>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</si>
  <si>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</si>
  <si>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</si>
  <si>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</si>
  <si>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</si>
  <si>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</si>
  <si>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</si>
  <si>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</si>
  <si>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</si>
  <si>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</si>
  <si>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</si>
  <si>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</si>
  <si>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</si>
  <si>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</si>
  <si>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</si>
  <si>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</si>
  <si>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</si>
  <si>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</si>
  <si>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</si>
  <si>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</si>
  <si>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</si>
  <si>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</si>
  <si>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</si>
  <si>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</si>
  <si>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</si>
  <si>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</si>
  <si>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</si>
  <si>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</si>
  <si>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</si>
  <si>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</si>
  <si>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</si>
  <si>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</si>
  <si>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</si>
  <si>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</si>
  <si>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</si>
  <si>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</si>
  <si>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</si>
  <si>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</si>
  <si>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</si>
  <si>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</si>
  <si>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</si>
  <si>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</si>
  <si>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</si>
  <si>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</si>
  <si>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</si>
  <si>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</si>
  <si>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</si>
  <si>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</si>
  <si>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</si>
  <si>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</si>
  <si>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</si>
  <si>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</si>
  <si>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</si>
  <si>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</si>
  <si>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</si>
  <si>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</si>
  <si>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</si>
  <si>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</si>
  <si>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</si>
  <si>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</si>
  <si>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</si>
  <si>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</si>
  <si>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</si>
  <si>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</si>
  <si>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</si>
  <si>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</si>
  <si>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</si>
  <si>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</si>
  <si>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</si>
  <si>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</si>
  <si>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</si>
  <si>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</si>
  <si>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</si>
  <si>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</si>
  <si>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</si>
  <si>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</si>
  <si>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</si>
  <si>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</si>
  <si>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</si>
  <si>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</si>
  <si>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</si>
  <si>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</si>
  <si>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</si>
  <si>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</si>
  <si>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</si>
  <si>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</si>
  <si>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</si>
  <si>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</si>
  <si>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</si>
  <si>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</si>
  <si>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</si>
  <si>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</si>
  <si>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</si>
  <si>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</si>
  <si>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</si>
  <si>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</si>
  <si>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</si>
  <si>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</si>
  <si>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</si>
  <si>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</si>
  <si>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</si>
  <si>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</si>
  <si>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</si>
  <si>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</si>
  <si>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</si>
  <si>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</si>
  <si>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</si>
  <si>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</si>
  <si>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</si>
  <si>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</si>
  <si>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</si>
  <si>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</si>
  <si>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</si>
  <si>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</si>
  <si>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</si>
  <si>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</si>
  <si>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</si>
  <si>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</si>
  <si>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</si>
  <si>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</si>
  <si>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</si>
  <si>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</si>
  <si>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</si>
  <si>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</si>
  <si>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</si>
  <si>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</si>
  <si>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</si>
  <si>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</si>
  <si>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</si>
  <si>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</si>
  <si>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</si>
  <si>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</si>
  <si>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</si>
  <si>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</si>
  <si>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</si>
  <si>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</si>
  <si>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</si>
  <si>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</si>
  <si>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</si>
  <si>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</si>
  <si>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</si>
  <si>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</si>
  <si>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</si>
  <si>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</si>
  <si>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</si>
  <si>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</si>
  <si>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</si>
  <si>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</si>
  <si>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</si>
  <si>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</si>
  <si>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</si>
  <si>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</si>
  <si>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</si>
  <si>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</si>
  <si>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</si>
  <si>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</si>
  <si>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</si>
  <si>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</si>
  <si>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</si>
  <si>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</si>
  <si>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</si>
  <si>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</si>
  <si>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</si>
  <si>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</si>
  <si>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</si>
  <si>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</si>
  <si>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</si>
  <si>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</si>
  <si>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</si>
  <si>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</si>
  <si>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</si>
  <si>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</si>
  <si>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</si>
  <si>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</si>
  <si>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</si>
  <si>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</si>
  <si>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</si>
  <si>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</si>
  <si>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</si>
  <si>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</si>
  <si>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</si>
  <si>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</si>
  <si>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</si>
  <si>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</si>
  <si>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</si>
  <si>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</si>
  <si>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</si>
  <si>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</si>
  <si>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</si>
  <si>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</si>
  <si>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</si>
  <si>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</si>
  <si>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</si>
  <si>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</si>
  <si>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</si>
  <si>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</si>
  <si>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</si>
  <si>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</si>
  <si>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</si>
  <si>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</si>
  <si>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</si>
  <si>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</si>
  <si>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</si>
  <si>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</si>
  <si>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</si>
  <si>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</si>
  <si>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</si>
  <si>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</si>
  <si>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</si>
  <si>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</si>
  <si>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</si>
  <si>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</si>
  <si>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</si>
  <si>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</si>
  <si>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</si>
  <si>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</si>
  <si>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</si>
  <si>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</si>
  <si>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</si>
  <si>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</si>
  <si>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</si>
  <si>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</si>
  <si>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</si>
  <si>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</si>
  <si>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</si>
  <si>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</si>
  <si>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</si>
  <si>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</si>
  <si>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</si>
  <si>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</si>
  <si>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</si>
  <si>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</si>
  <si>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</si>
  <si>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</si>
  <si>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</si>
  <si>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</si>
  <si>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</si>
  <si>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</si>
  <si>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</si>
  <si>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</si>
  <si>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</si>
  <si>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</si>
  <si>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</si>
  <si>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</si>
  <si>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</si>
  <si>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</si>
  <si>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</si>
  <si>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</si>
  <si>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</si>
  <si>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</si>
  <si>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</si>
  <si>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</si>
  <si>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</si>
  <si>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</si>
  <si>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</si>
  <si>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</si>
  <si>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</si>
  <si>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</si>
  <si>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</si>
  <si>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</si>
  <si>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</si>
  <si>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</si>
  <si>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</si>
  <si>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</si>
  <si>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</si>
  <si>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</si>
  <si>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</si>
  <si>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</si>
  <si>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</si>
  <si>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</si>
  <si>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</si>
  <si>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</si>
  <si>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</si>
  <si>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</si>
  <si>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</si>
  <si>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</si>
  <si>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</si>
  <si>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</si>
  <si>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</si>
  <si>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</si>
  <si>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</si>
  <si>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</si>
  <si>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</si>
  <si>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</si>
  <si>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</si>
  <si>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</si>
  <si>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</si>
  <si>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</si>
  <si>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</si>
  <si>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</si>
  <si>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</si>
  <si>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</si>
  <si>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</si>
  <si>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</si>
  <si>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</si>
  <si>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</si>
  <si>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</si>
  <si>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</si>
  <si>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</si>
  <si>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</si>
  <si>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</si>
  <si>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</si>
  <si>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</si>
  <si>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</si>
  <si>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</si>
  <si>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</si>
  <si>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</si>
  <si>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</si>
  <si>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</si>
  <si>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</si>
  <si>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</si>
  <si>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</si>
  <si>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</si>
  <si>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</si>
  <si>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</si>
  <si>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</si>
  <si>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</si>
  <si>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</si>
  <si>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</si>
  <si>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</si>
  <si>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</si>
  <si>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</si>
  <si>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</si>
  <si>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</si>
  <si>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</si>
  <si>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</si>
  <si>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</si>
  <si>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</si>
  <si>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</si>
  <si>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</si>
  <si>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</si>
  <si>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</si>
  <si>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</si>
  <si>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</si>
  <si>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</si>
  <si>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</si>
  <si>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</si>
  <si>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</si>
  <si>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</si>
  <si>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</si>
  <si>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</si>
  <si>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</si>
  <si>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</si>
  <si>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</si>
  <si>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</si>
  <si>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</si>
  <si>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</si>
  <si>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</si>
  <si>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</si>
  <si>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</si>
  <si>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</si>
  <si>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</si>
  <si>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</si>
  <si>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</si>
  <si>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</si>
  <si>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</si>
  <si>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</si>
  <si>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</si>
  <si>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</si>
  <si>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</si>
  <si>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</si>
  <si>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</si>
  <si>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</si>
  <si>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</si>
  <si>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</si>
  <si>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</si>
  <si>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</si>
  <si>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</si>
  <si>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</si>
  <si>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</si>
  <si>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</si>
  <si>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</si>
  <si>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</si>
  <si>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</si>
  <si>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</si>
  <si>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</si>
  <si>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</si>
  <si>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</si>
  <si>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</si>
  <si>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</si>
  <si>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</si>
  <si>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</si>
  <si>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</si>
  <si>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</si>
  <si>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</si>
  <si>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</si>
  <si>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</si>
  <si>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</si>
  <si>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</si>
  <si>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</si>
  <si>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</si>
  <si>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</si>
  <si>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</si>
  <si>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</si>
  <si>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</si>
  <si>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</si>
  <si>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</si>
  <si>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</si>
  <si>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</si>
  <si>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</si>
  <si>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</si>
  <si>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</si>
  <si>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</si>
  <si>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</si>
  <si>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</si>
  <si>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8/15/2007</t>
  </si>
  <si>
    <t>08/15/2027</t>
  </si>
  <si>
    <t>Newport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</si>
</sst>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01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401</v>
      </c>
      <c r="C2" s="21">
        <v>401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178779.28+619.81+1333.86+798.45</f>
        <v>181531.4</v>
      </c>
      <c r="G9" s="18"/>
      <c r="H9" s="18"/>
      <c r="I9" s="18"/>
      <c r="J9" s="67">
        <f>SUM(I439)</f>
        <v>461575.13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214483.11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52560.01</v>
      </c>
      <c r="G13" s="18">
        <v>14210.13</v>
      </c>
      <c r="H13" s="18">
        <v>187725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1149</v>
      </c>
      <c r="G14" s="18">
        <f>51422.6+1621.49</f>
        <v>53044.09</v>
      </c>
      <c r="H14" s="18">
        <v>216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13404.87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12462.13</v>
      </c>
      <c r="G17" s="18"/>
      <c r="H17" s="18">
        <v>825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462185.65</v>
      </c>
      <c r="G19" s="41">
        <f>SUM(G9:G18)</f>
        <v>80659.09</v>
      </c>
      <c r="H19" s="41">
        <f>SUM(H9:H18)</f>
        <v>188766</v>
      </c>
      <c r="I19" s="41">
        <f>SUM(I9:I18)</f>
        <v>0</v>
      </c>
      <c r="J19" s="41">
        <f>SUM(J9:J18)</f>
        <v>461575.13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62491.99</v>
      </c>
      <c r="G22" s="18"/>
      <c r="H22" s="18">
        <v>150993.44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64326.84</v>
      </c>
      <c r="G23" s="18">
        <v>63489.67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f>359.29+4432.88</f>
        <v>4792.17</v>
      </c>
      <c r="H24" s="18">
        <v>34451.5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10771.23+77.79+1197.32+646.57+1369.04+151.13</f>
        <v>14213.08</v>
      </c>
      <c r="G28" s="18"/>
      <c r="H28" s="18">
        <f>1627.5+100.91+219.38+23.6</f>
        <v>1971.3899999999999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8334.64</v>
      </c>
      <c r="H30" s="18">
        <v>1349.67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141031.90999999997</v>
      </c>
      <c r="G32" s="41">
        <f>SUM(G22:G31)</f>
        <v>76616.479999999996</v>
      </c>
      <c r="H32" s="41">
        <f>SUM(H22:H31)</f>
        <v>188766.00000000003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13404.87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12462.13</v>
      </c>
      <c r="G36" s="18"/>
      <c r="H36" s="18">
        <v>825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461575.13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-9362.26</v>
      </c>
      <c r="H49" s="18">
        <v>-825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174341.99+134349.62</f>
        <v>308691.61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321153.74</v>
      </c>
      <c r="G51" s="41">
        <f>SUM(G35:G50)</f>
        <v>4042.6100000000006</v>
      </c>
      <c r="H51" s="41">
        <f>SUM(H35:H50)</f>
        <v>0</v>
      </c>
      <c r="I51" s="41">
        <f>SUM(I35:I50)</f>
        <v>0</v>
      </c>
      <c r="J51" s="41">
        <f>SUM(J35:J50)</f>
        <v>461575.13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462185.64999999997</v>
      </c>
      <c r="G52" s="41">
        <f>G51+G32</f>
        <v>80659.09</v>
      </c>
      <c r="H52" s="41">
        <f>H51+H32</f>
        <v>188766.00000000003</v>
      </c>
      <c r="I52" s="41">
        <f>I51+I32</f>
        <v>0</v>
      </c>
      <c r="J52" s="41">
        <f>J51+J32</f>
        <v>461575.13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6107370.6100000003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6107370.6100000003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6156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111924+102451.25+165495+572920.71+241484.95</f>
        <v>1194275.9099999999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20683.89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1221115.7999999998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764.65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764.65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227.44</v>
      </c>
      <c r="G96" s="18"/>
      <c r="H96" s="18"/>
      <c r="I96" s="18"/>
      <c r="J96" s="18">
        <f>44.94+222.26+917.42+35.29+9327.31</f>
        <v>10547.22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107297.5+5162.16</f>
        <v>112459.66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102773.94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87049.23+10069.13</f>
        <v>97118.36</v>
      </c>
      <c r="G110" s="18"/>
      <c r="H110" s="18">
        <f>479.34+946.39+136.28+5000+6000+1691.02+1143.3</f>
        <v>15396.33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200119.74</v>
      </c>
      <c r="G111" s="41">
        <f>SUM(G96:G110)</f>
        <v>112459.66</v>
      </c>
      <c r="H111" s="41">
        <f>SUM(H96:H110)</f>
        <v>15396.33</v>
      </c>
      <c r="I111" s="41">
        <f>SUM(I96:I110)</f>
        <v>0</v>
      </c>
      <c r="J111" s="41">
        <f>SUM(J96:J110)</f>
        <v>10547.22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7529370.8000000007</v>
      </c>
      <c r="G112" s="41">
        <f>G60+G111</f>
        <v>112459.66</v>
      </c>
      <c r="H112" s="41">
        <f>H60+H79+H94+H111</f>
        <v>15396.33</v>
      </c>
      <c r="I112" s="41">
        <f>I60+I111</f>
        <v>0</v>
      </c>
      <c r="J112" s="41">
        <f>J60+J111</f>
        <v>10547.22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6486938.75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1020385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7507323.75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339729.58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261385.43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52932.15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1394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4604.07+694.11+29.43</f>
        <v>5327.61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655441.16</v>
      </c>
      <c r="G136" s="41">
        <f>SUM(G123:G135)</f>
        <v>5327.61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8162764.9100000001</v>
      </c>
      <c r="G140" s="41">
        <f>G121+SUM(G136:G137)</f>
        <v>5327.61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27929.86+10407.06+525472.68+84283.69</f>
        <v>648093.29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35701.67+14231.87+1555.82+1828.26+17758.61+18964.81+15230.47+52584.3+5715.06+5840.79+251503.09</f>
        <v>420914.75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5897.1+13800.43</f>
        <v>19697.53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189045.44+4310.72+40664.11+1893.33+16477.33+1508+15704+7488</f>
        <v>277090.93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89723.4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50000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89723.4</v>
      </c>
      <c r="G162" s="41">
        <f>SUM(G150:G161)</f>
        <v>277090.93</v>
      </c>
      <c r="H162" s="41">
        <f>SUM(H150:H161)</f>
        <v>1138705.57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54143.55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143866.95000000001</v>
      </c>
      <c r="G169" s="41">
        <f>G147+G162+SUM(G163:G168)</f>
        <v>277090.93</v>
      </c>
      <c r="H169" s="41">
        <f>H147+H162+SUM(H163:H168)</f>
        <v>1138705.57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4255.3100000000004</v>
      </c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4255.3100000000004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f>280000+266639</f>
        <v>546639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546639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546639</v>
      </c>
      <c r="G192" s="41">
        <f>G183+SUM(G188:G191)</f>
        <v>4255.3100000000004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16382641.66</v>
      </c>
      <c r="G193" s="47">
        <f>G112+G140+G169+G192</f>
        <v>399133.51</v>
      </c>
      <c r="H193" s="47">
        <f>H112+H140+H169+H192</f>
        <v>1154101.9000000001</v>
      </c>
      <c r="I193" s="47">
        <f>I112+I140+I169+I192</f>
        <v>0</v>
      </c>
      <c r="J193" s="47">
        <f>J112+J140+J192</f>
        <v>20547.22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1435408.45</v>
      </c>
      <c r="G197" s="18">
        <v>732346.72</v>
      </c>
      <c r="H197" s="18">
        <f>3287.16+7811.62</f>
        <v>11098.779999999999</v>
      </c>
      <c r="I197" s="18">
        <v>104420.09</v>
      </c>
      <c r="J197" s="18">
        <v>3806.61</v>
      </c>
      <c r="K197" s="18"/>
      <c r="L197" s="19">
        <f>SUM(F197:K197)</f>
        <v>2287080.6499999994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816869.95</v>
      </c>
      <c r="G198" s="18">
        <v>272254.03000000003</v>
      </c>
      <c r="H198" s="18">
        <f>20540.11+369187.66</f>
        <v>389727.76999999996</v>
      </c>
      <c r="I198" s="18">
        <v>2212.44</v>
      </c>
      <c r="J198" s="18">
        <v>93.6</v>
      </c>
      <c r="K198" s="18">
        <v>1375.4</v>
      </c>
      <c r="L198" s="19">
        <f>SUM(F198:K198)</f>
        <v>1482533.19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11222.78</v>
      </c>
      <c r="G200" s="18">
        <f>1373.84</f>
        <v>1373.84</v>
      </c>
      <c r="H200" s="18"/>
      <c r="I200" s="18">
        <v>284.08999999999997</v>
      </c>
      <c r="J200" s="18"/>
      <c r="K200" s="18"/>
      <c r="L200" s="19">
        <f>SUM(F200:K200)</f>
        <v>12880.710000000001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496387.71</v>
      </c>
      <c r="G202" s="18">
        <v>229865.62</v>
      </c>
      <c r="H202" s="18">
        <f>284961.11+1084.99+956.87</f>
        <v>287002.96999999997</v>
      </c>
      <c r="I202" s="18">
        <v>5917.76</v>
      </c>
      <c r="J202" s="18"/>
      <c r="K202" s="18"/>
      <c r="L202" s="19">
        <f t="shared" ref="L202:L208" si="0">SUM(F202:K202)</f>
        <v>1019174.06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95839.25</v>
      </c>
      <c r="G203" s="18">
        <v>49411.7</v>
      </c>
      <c r="H203" s="18">
        <f>17083.87+72177.72+25492.31</f>
        <v>114753.9</v>
      </c>
      <c r="I203" s="18">
        <v>15152.57</v>
      </c>
      <c r="J203" s="18">
        <v>11050.26</v>
      </c>
      <c r="K203" s="18">
        <v>1300</v>
      </c>
      <c r="L203" s="19">
        <f t="shared" si="0"/>
        <v>287507.68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5523.07</v>
      </c>
      <c r="G204" s="18">
        <v>629.58000000000004</v>
      </c>
      <c r="H204" s="18">
        <f>464351.71+2157.39</f>
        <v>466509.10000000003</v>
      </c>
      <c r="I204" s="18">
        <v>1895.74</v>
      </c>
      <c r="J204" s="18"/>
      <c r="K204" s="18">
        <v>3833.98</v>
      </c>
      <c r="L204" s="19">
        <f t="shared" si="0"/>
        <v>478391.47000000003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210433.98</v>
      </c>
      <c r="G205" s="18">
        <v>56254.49</v>
      </c>
      <c r="H205" s="18">
        <f>3077.26+5323.92</f>
        <v>8401.18</v>
      </c>
      <c r="I205" s="18">
        <v>1102.25</v>
      </c>
      <c r="J205" s="18"/>
      <c r="K205" s="18">
        <v>515</v>
      </c>
      <c r="L205" s="19">
        <f t="shared" si="0"/>
        <v>276706.90000000002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108664.64+21159.02</f>
        <v>129823.66</v>
      </c>
      <c r="G207" s="18">
        <f>88895.56+14200.31</f>
        <v>103095.87</v>
      </c>
      <c r="H207" s="18">
        <f>74385.56+18271.85+339.47</f>
        <v>92996.88</v>
      </c>
      <c r="I207" s="18">
        <f>197073.03+515.96</f>
        <v>197588.99</v>
      </c>
      <c r="J207" s="18">
        <v>63000</v>
      </c>
      <c r="K207" s="18"/>
      <c r="L207" s="19">
        <f t="shared" si="0"/>
        <v>586505.4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142329.01</v>
      </c>
      <c r="G208" s="18">
        <v>32748.66</v>
      </c>
      <c r="H208" s="18">
        <f>1980.68+35913+100536.36</f>
        <v>138430.04</v>
      </c>
      <c r="I208" s="18">
        <f>34554.16</f>
        <v>34554.160000000003</v>
      </c>
      <c r="J208" s="18">
        <v>-780</v>
      </c>
      <c r="K208" s="18">
        <v>332.36</v>
      </c>
      <c r="L208" s="19">
        <f t="shared" si="0"/>
        <v>347614.23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3343837.8599999994</v>
      </c>
      <c r="G211" s="41">
        <f t="shared" si="1"/>
        <v>1477980.51</v>
      </c>
      <c r="H211" s="41">
        <f t="shared" si="1"/>
        <v>1508920.62</v>
      </c>
      <c r="I211" s="41">
        <f t="shared" si="1"/>
        <v>363128.08999999997</v>
      </c>
      <c r="J211" s="41">
        <f t="shared" si="1"/>
        <v>77170.47</v>
      </c>
      <c r="K211" s="41">
        <f t="shared" si="1"/>
        <v>7356.74</v>
      </c>
      <c r="L211" s="41">
        <f t="shared" si="1"/>
        <v>6778394.2899999991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590940.79</v>
      </c>
      <c r="G215" s="18">
        <v>328996.13</v>
      </c>
      <c r="H215" s="18"/>
      <c r="I215" s="18">
        <v>24271.01</v>
      </c>
      <c r="J215" s="18">
        <v>2039.83</v>
      </c>
      <c r="K215" s="18"/>
      <c r="L215" s="19">
        <f>SUM(F215:K215)</f>
        <v>946247.76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187361.18</v>
      </c>
      <c r="G216" s="18">
        <v>77008.14</v>
      </c>
      <c r="H216" s="18">
        <f>1713.61+198036.41</f>
        <v>199750.02</v>
      </c>
      <c r="I216" s="18">
        <v>487.52</v>
      </c>
      <c r="J216" s="18"/>
      <c r="K216" s="18">
        <v>370.3</v>
      </c>
      <c r="L216" s="19">
        <f>SUM(F216:K216)</f>
        <v>464977.16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12488.55</v>
      </c>
      <c r="G218" s="18">
        <v>1701.82</v>
      </c>
      <c r="H218" s="18"/>
      <c r="I218" s="18"/>
      <c r="J218" s="18"/>
      <c r="K218" s="18"/>
      <c r="L218" s="19">
        <f>SUM(F218:K218)</f>
        <v>14190.369999999999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54012.9</v>
      </c>
      <c r="G220" s="18">
        <v>18984.09</v>
      </c>
      <c r="H220" s="18">
        <v>29972.44</v>
      </c>
      <c r="I220" s="18">
        <v>140.06</v>
      </c>
      <c r="J220" s="18"/>
      <c r="K220" s="18"/>
      <c r="L220" s="19">
        <f t="shared" ref="L220:L226" si="2">SUM(F220:K220)</f>
        <v>103109.49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18477.79</v>
      </c>
      <c r="G221" s="18">
        <v>8369.1</v>
      </c>
      <c r="H221" s="18">
        <f>3573.29+53.47</f>
        <v>3626.7599999999998</v>
      </c>
      <c r="I221" s="18">
        <v>280</v>
      </c>
      <c r="J221" s="18"/>
      <c r="K221" s="18"/>
      <c r="L221" s="19">
        <f t="shared" si="2"/>
        <v>30753.649999999998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1486.98</v>
      </c>
      <c r="G222" s="18">
        <v>169.51</v>
      </c>
      <c r="H222" s="18">
        <f>125017.77+580.84</f>
        <v>125598.61</v>
      </c>
      <c r="I222" s="18">
        <v>510.39</v>
      </c>
      <c r="J222" s="18">
        <v>1032.22</v>
      </c>
      <c r="K222" s="18"/>
      <c r="L222" s="19">
        <f t="shared" si="2"/>
        <v>128797.71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31059.73</v>
      </c>
      <c r="G223" s="18">
        <v>6689.35</v>
      </c>
      <c r="H223" s="18">
        <v>828.49</v>
      </c>
      <c r="I223" s="18"/>
      <c r="J223" s="18"/>
      <c r="K223" s="18"/>
      <c r="L223" s="19">
        <f t="shared" si="2"/>
        <v>38577.57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9571.93</v>
      </c>
      <c r="G225" s="18">
        <v>6423.95</v>
      </c>
      <c r="H225" s="18">
        <v>153.57</v>
      </c>
      <c r="I225" s="18">
        <v>233.42</v>
      </c>
      <c r="J225" s="18">
        <v>58500</v>
      </c>
      <c r="K225" s="18"/>
      <c r="L225" s="19">
        <f t="shared" si="2"/>
        <v>74882.87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41542.839999999997</v>
      </c>
      <c r="G226" s="18">
        <v>9132.5400000000009</v>
      </c>
      <c r="H226" s="18">
        <f>533.26+9668.89+27067.48</f>
        <v>37269.629999999997</v>
      </c>
      <c r="I226" s="18">
        <v>9303.0400000000009</v>
      </c>
      <c r="J226" s="18">
        <v>-210</v>
      </c>
      <c r="K226" s="18">
        <v>89.48</v>
      </c>
      <c r="L226" s="19">
        <f t="shared" si="2"/>
        <v>97127.529999999984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946942.69000000006</v>
      </c>
      <c r="G229" s="41">
        <f>SUM(G215:G228)</f>
        <v>457474.63</v>
      </c>
      <c r="H229" s="41">
        <f>SUM(H215:H228)</f>
        <v>397199.52</v>
      </c>
      <c r="I229" s="41">
        <f>SUM(I215:I228)</f>
        <v>35225.440000000002</v>
      </c>
      <c r="J229" s="41">
        <f>SUM(J215:J228)</f>
        <v>61362.05</v>
      </c>
      <c r="K229" s="41">
        <f t="shared" si="3"/>
        <v>459.78000000000003</v>
      </c>
      <c r="L229" s="41">
        <f t="shared" si="3"/>
        <v>1898664.11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1089287.48</v>
      </c>
      <c r="G233" s="18">
        <v>538397.61</v>
      </c>
      <c r="H233" s="18">
        <f>4584.84+12656.06+3963.77</f>
        <v>21204.670000000002</v>
      </c>
      <c r="I233" s="18">
        <v>68864.679999999993</v>
      </c>
      <c r="J233" s="18">
        <v>12486.14</v>
      </c>
      <c r="K233" s="18">
        <v>5441.97</v>
      </c>
      <c r="L233" s="19">
        <f>SUM(F233:K233)</f>
        <v>1735682.5499999996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302519.27</v>
      </c>
      <c r="G234" s="18">
        <v>169225.33</v>
      </c>
      <c r="H234" s="18">
        <f>6923.88+770459.42</f>
        <v>777383.3</v>
      </c>
      <c r="I234" s="18">
        <v>699</v>
      </c>
      <c r="J234" s="18">
        <v>0</v>
      </c>
      <c r="K234" s="18">
        <v>899.3</v>
      </c>
      <c r="L234" s="19">
        <f>SUM(F234:K234)</f>
        <v>1250726.2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387188.39</v>
      </c>
      <c r="G235" s="18">
        <v>186134.82</v>
      </c>
      <c r="H235" s="18">
        <f>3067.7+8422.11</f>
        <v>11489.810000000001</v>
      </c>
      <c r="I235" s="18">
        <f>34556.51</f>
        <v>34556.51</v>
      </c>
      <c r="J235" s="18">
        <v>1967.18</v>
      </c>
      <c r="K235" s="18">
        <v>975</v>
      </c>
      <c r="L235" s="19">
        <f>SUM(F235:K235)</f>
        <v>622311.71000000008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156141.91</v>
      </c>
      <c r="G236" s="18">
        <v>41648.74</v>
      </c>
      <c r="H236" s="18">
        <f>30861.53+22100.74+2952.37</f>
        <v>55914.640000000007</v>
      </c>
      <c r="I236" s="18">
        <v>28825.32</v>
      </c>
      <c r="J236" s="18">
        <v>15924.65</v>
      </c>
      <c r="K236" s="18">
        <v>12606</v>
      </c>
      <c r="L236" s="19">
        <f>SUM(F236:K236)</f>
        <v>311061.26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295371.21000000002</v>
      </c>
      <c r="G238" s="18">
        <v>115813.55</v>
      </c>
      <c r="H238" s="18">
        <f>129127.65+1178.79</f>
        <v>130306.43999999999</v>
      </c>
      <c r="I238" s="18">
        <v>2771.41</v>
      </c>
      <c r="J238" s="18"/>
      <c r="K238" s="18">
        <v>80</v>
      </c>
      <c r="L238" s="19">
        <f t="shared" ref="L238:L244" si="4">SUM(F238:K238)</f>
        <v>544342.61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132589.92000000001</v>
      </c>
      <c r="G239" s="18">
        <v>67472.350000000006</v>
      </c>
      <c r="H239" s="18">
        <f>18341.7+73685.72+18810.8</f>
        <v>110838.22</v>
      </c>
      <c r="I239" s="18">
        <v>20593.41</v>
      </c>
      <c r="J239" s="18">
        <v>43572</v>
      </c>
      <c r="K239" s="18">
        <v>7851.12</v>
      </c>
      <c r="L239" s="19">
        <f t="shared" si="4"/>
        <v>382917.01999999996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3611.23</v>
      </c>
      <c r="G240" s="18">
        <v>411.64</v>
      </c>
      <c r="H240" s="18">
        <f>303614.58+1410.59</f>
        <v>305025.17000000004</v>
      </c>
      <c r="I240" s="18">
        <v>1239.52</v>
      </c>
      <c r="J240" s="18"/>
      <c r="K240" s="18">
        <v>2506.83</v>
      </c>
      <c r="L240" s="19">
        <f t="shared" si="4"/>
        <v>312794.39000000007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318900.03000000003</v>
      </c>
      <c r="G241" s="18">
        <v>182193.19</v>
      </c>
      <c r="H241" s="18">
        <f>20611.4+5412</f>
        <v>26023.4</v>
      </c>
      <c r="I241" s="18">
        <v>10531.2</v>
      </c>
      <c r="J241" s="18">
        <v>3691.3</v>
      </c>
      <c r="K241" s="18">
        <v>2567</v>
      </c>
      <c r="L241" s="19">
        <f t="shared" si="4"/>
        <v>543906.12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128017.39+19647.65</f>
        <v>147665.04</v>
      </c>
      <c r="G243" s="18">
        <f>73343.36+13186.01</f>
        <v>86529.37</v>
      </c>
      <c r="H243" s="18">
        <f>222317.8+18283.07+315.23</f>
        <v>240916.1</v>
      </c>
      <c r="I243" s="18">
        <f>255462.44+479.12</f>
        <v>255941.56</v>
      </c>
      <c r="J243" s="18">
        <f>618.35+28500</f>
        <v>29118.35</v>
      </c>
      <c r="K243" s="18"/>
      <c r="L243" s="19">
        <f t="shared" si="4"/>
        <v>760170.42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114461.78</v>
      </c>
      <c r="G244" s="18">
        <v>23907.89</v>
      </c>
      <c r="H244" s="18">
        <f>1295.06+23481.59+66085.31</f>
        <v>90861.959999999992</v>
      </c>
      <c r="I244" s="18">
        <v>23889.599999999999</v>
      </c>
      <c r="J244" s="18">
        <v>-510</v>
      </c>
      <c r="K244" s="18">
        <v>217.32</v>
      </c>
      <c r="L244" s="19">
        <f t="shared" si="4"/>
        <v>252828.55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2947736.2600000002</v>
      </c>
      <c r="G247" s="41">
        <f t="shared" si="5"/>
        <v>1411734.49</v>
      </c>
      <c r="H247" s="41">
        <f t="shared" si="5"/>
        <v>1769963.71</v>
      </c>
      <c r="I247" s="41">
        <f t="shared" si="5"/>
        <v>447912.20999999996</v>
      </c>
      <c r="J247" s="41">
        <f t="shared" si="5"/>
        <v>106249.62</v>
      </c>
      <c r="K247" s="41">
        <f t="shared" si="5"/>
        <v>33144.54</v>
      </c>
      <c r="L247" s="41">
        <f t="shared" si="5"/>
        <v>6716740.8299999991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7238516.8100000005</v>
      </c>
      <c r="G257" s="41">
        <f t="shared" si="8"/>
        <v>3347189.63</v>
      </c>
      <c r="H257" s="41">
        <f t="shared" si="8"/>
        <v>3676083.85</v>
      </c>
      <c r="I257" s="41">
        <f t="shared" si="8"/>
        <v>846265.74</v>
      </c>
      <c r="J257" s="41">
        <f t="shared" si="8"/>
        <v>244782.14</v>
      </c>
      <c r="K257" s="41">
        <f t="shared" si="8"/>
        <v>40961.06</v>
      </c>
      <c r="L257" s="41">
        <f t="shared" si="8"/>
        <v>15393799.229999997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265200+71400+173400</f>
        <v>510000</v>
      </c>
      <c r="L260" s="19">
        <f>SUM(F260:K260)</f>
        <v>510000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171723.5+46233.25+112280.75</f>
        <v>330237.5</v>
      </c>
      <c r="L261" s="19">
        <f>SUM(F261:K261)</f>
        <v>330237.5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2212.76+595.74+1446.81</f>
        <v>4255.3099999999995</v>
      </c>
      <c r="L263" s="19">
        <f>SUM(F263:K263)</f>
        <v>4255.3099999999995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854492.81</v>
      </c>
      <c r="L270" s="41">
        <f t="shared" si="9"/>
        <v>854492.81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7238516.8100000005</v>
      </c>
      <c r="G271" s="42">
        <f t="shared" si="11"/>
        <v>3347189.63</v>
      </c>
      <c r="H271" s="42">
        <f t="shared" si="11"/>
        <v>3676083.85</v>
      </c>
      <c r="I271" s="42">
        <f t="shared" si="11"/>
        <v>846265.74</v>
      </c>
      <c r="J271" s="42">
        <f t="shared" si="11"/>
        <v>244782.14</v>
      </c>
      <c r="K271" s="42">
        <f t="shared" si="11"/>
        <v>895453.87000000011</v>
      </c>
      <c r="L271" s="42">
        <f t="shared" si="11"/>
        <v>16248292.039999997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270847.96000000002</v>
      </c>
      <c r="G276" s="18">
        <v>121482.72</v>
      </c>
      <c r="H276" s="18">
        <f>44025.67+4684.51</f>
        <v>48710.18</v>
      </c>
      <c r="I276" s="18">
        <v>16434.71</v>
      </c>
      <c r="J276" s="18">
        <v>16797.439999999999</v>
      </c>
      <c r="K276" s="18"/>
      <c r="L276" s="19">
        <f>SUM(F276:K276)</f>
        <v>474273.01000000007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67071.960000000006</v>
      </c>
      <c r="G277" s="18">
        <v>28255.11</v>
      </c>
      <c r="H277" s="18">
        <f>35653.69+875</f>
        <v>36528.69</v>
      </c>
      <c r="I277" s="18">
        <v>2933.15</v>
      </c>
      <c r="J277" s="18"/>
      <c r="K277" s="18"/>
      <c r="L277" s="19">
        <f>SUM(F277:K277)</f>
        <v>134788.91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2449.2+370.11</f>
        <v>2819.31</v>
      </c>
      <c r="I281" s="18">
        <v>950.69</v>
      </c>
      <c r="J281" s="18"/>
      <c r="K281" s="18"/>
      <c r="L281" s="19">
        <f t="shared" ref="L281:L287" si="12">SUM(F281:K281)</f>
        <v>3770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23463.4</v>
      </c>
      <c r="G282" s="18">
        <v>4929.03</v>
      </c>
      <c r="H282" s="18">
        <f>4601.26+23489.88</f>
        <v>28091.14</v>
      </c>
      <c r="I282" s="18">
        <v>4636.54</v>
      </c>
      <c r="J282" s="18">
        <v>23784.79</v>
      </c>
      <c r="K282" s="18"/>
      <c r="L282" s="19">
        <f t="shared" si="12"/>
        <v>84904.9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1728.12</v>
      </c>
      <c r="G283" s="18">
        <v>375.45</v>
      </c>
      <c r="H283" s="18">
        <f>3441.98</f>
        <v>3441.98</v>
      </c>
      <c r="I283" s="18"/>
      <c r="J283" s="18"/>
      <c r="K283" s="18">
        <v>4172.96</v>
      </c>
      <c r="L283" s="19">
        <f t="shared" si="12"/>
        <v>9718.5099999999984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26000</v>
      </c>
      <c r="K286" s="18"/>
      <c r="L286" s="19">
        <f t="shared" si="12"/>
        <v>26000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3041.5</v>
      </c>
      <c r="I287" s="18"/>
      <c r="J287" s="18"/>
      <c r="K287" s="18"/>
      <c r="L287" s="19">
        <f t="shared" si="12"/>
        <v>3041.5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363111.44000000006</v>
      </c>
      <c r="G290" s="42">
        <f t="shared" si="13"/>
        <v>155042.31000000003</v>
      </c>
      <c r="H290" s="42">
        <f t="shared" si="13"/>
        <v>122632.79999999999</v>
      </c>
      <c r="I290" s="42">
        <f t="shared" si="13"/>
        <v>24955.09</v>
      </c>
      <c r="J290" s="42">
        <f t="shared" si="13"/>
        <v>66582.23</v>
      </c>
      <c r="K290" s="42">
        <f t="shared" si="13"/>
        <v>4172.96</v>
      </c>
      <c r="L290" s="41">
        <f t="shared" si="13"/>
        <v>736496.83000000007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71959.62</v>
      </c>
      <c r="G295" s="18">
        <v>32281.62</v>
      </c>
      <c r="H295" s="18">
        <f>11716.5+1261.21</f>
        <v>12977.71</v>
      </c>
      <c r="I295" s="18">
        <v>4216.17</v>
      </c>
      <c r="J295" s="18">
        <v>4479.42</v>
      </c>
      <c r="K295" s="18"/>
      <c r="L295" s="19">
        <f>SUM(F295:K295)</f>
        <v>125914.53999999998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18057.84</v>
      </c>
      <c r="G296" s="18">
        <v>7607.17</v>
      </c>
      <c r="H296" s="18">
        <v>9082.15</v>
      </c>
      <c r="I296" s="18">
        <v>23.52</v>
      </c>
      <c r="J296" s="18"/>
      <c r="K296" s="18"/>
      <c r="L296" s="19">
        <f>SUM(F296:K296)</f>
        <v>34770.68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6246.18</v>
      </c>
      <c r="G300" s="18">
        <v>659.4</v>
      </c>
      <c r="H300" s="18"/>
      <c r="I300" s="18">
        <v>255.96</v>
      </c>
      <c r="J300" s="18"/>
      <c r="K300" s="18"/>
      <c r="L300" s="19">
        <f t="shared" ref="L300:L306" si="14">SUM(F300:K300)</f>
        <v>7161.54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6317.07</v>
      </c>
      <c r="G301" s="18">
        <v>1327.07</v>
      </c>
      <c r="H301" s="18">
        <f>1184.96+6384.61</f>
        <v>7569.57</v>
      </c>
      <c r="I301" s="18">
        <v>1243.27</v>
      </c>
      <c r="J301" s="18"/>
      <c r="K301" s="18">
        <v>77.33</v>
      </c>
      <c r="L301" s="19">
        <f t="shared" si="14"/>
        <v>16534.310000000001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459.38</v>
      </c>
      <c r="G302" s="18">
        <v>99.81</v>
      </c>
      <c r="H302" s="18">
        <f>926.69</f>
        <v>926.69</v>
      </c>
      <c r="I302" s="18"/>
      <c r="J302" s="18"/>
      <c r="K302" s="18">
        <v>1123.49</v>
      </c>
      <c r="L302" s="19">
        <f t="shared" si="14"/>
        <v>2609.37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7000</v>
      </c>
      <c r="K305" s="18"/>
      <c r="L305" s="19">
        <f t="shared" si="14"/>
        <v>7000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808.5</v>
      </c>
      <c r="I306" s="18"/>
      <c r="J306" s="18"/>
      <c r="K306" s="18"/>
      <c r="L306" s="19">
        <f t="shared" si="14"/>
        <v>808.5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103040.09</v>
      </c>
      <c r="G309" s="42">
        <f t="shared" si="15"/>
        <v>41975.07</v>
      </c>
      <c r="H309" s="42">
        <f t="shared" si="15"/>
        <v>31364.62</v>
      </c>
      <c r="I309" s="42">
        <f t="shared" si="15"/>
        <v>5738.92</v>
      </c>
      <c r="J309" s="42">
        <f t="shared" si="15"/>
        <v>11479.42</v>
      </c>
      <c r="K309" s="42">
        <f t="shared" si="15"/>
        <v>1200.82</v>
      </c>
      <c r="L309" s="41">
        <f t="shared" si="15"/>
        <v>194798.93999999997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14593.22</v>
      </c>
      <c r="G314" s="18">
        <v>2383.87</v>
      </c>
      <c r="H314" s="18">
        <f>25534.85+3062.94</f>
        <v>28597.789999999997</v>
      </c>
      <c r="I314" s="18">
        <f>8382.59</f>
        <v>8382.59</v>
      </c>
      <c r="J314" s="18">
        <v>2739.51</v>
      </c>
      <c r="K314" s="18"/>
      <c r="L314" s="19">
        <f>SUM(F314:K314)</f>
        <v>56696.98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43854.74</v>
      </c>
      <c r="G315" s="18">
        <v>18474.509999999998</v>
      </c>
      <c r="H315" s="18">
        <f>22056.64</f>
        <v>22056.639999999999</v>
      </c>
      <c r="I315" s="18">
        <v>57.12</v>
      </c>
      <c r="J315" s="18"/>
      <c r="K315" s="18"/>
      <c r="L315" s="19">
        <f>SUM(F315:K315)</f>
        <v>84443.01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97+2757.29</f>
        <v>2854.29</v>
      </c>
      <c r="I316" s="18">
        <v>1876.2</v>
      </c>
      <c r="J316" s="18">
        <v>5558.15</v>
      </c>
      <c r="K316" s="18">
        <v>3161.79</v>
      </c>
      <c r="L316" s="19">
        <f>SUM(F316:K316)</f>
        <v>13450.43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1601.4</v>
      </c>
      <c r="I319" s="18">
        <v>621.61</v>
      </c>
      <c r="J319" s="18"/>
      <c r="K319" s="18"/>
      <c r="L319" s="19">
        <f t="shared" ref="L319:L325" si="16">SUM(F319:K319)</f>
        <v>2223.0100000000002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17341.46</f>
        <v>17341.46</v>
      </c>
      <c r="G320" s="18">
        <v>3669.95</v>
      </c>
      <c r="H320" s="18">
        <f>4977.75+9422.01</f>
        <v>14399.76</v>
      </c>
      <c r="I320" s="18">
        <v>2064.73</v>
      </c>
      <c r="J320" s="18"/>
      <c r="K320" s="18">
        <v>187.81</v>
      </c>
      <c r="L320" s="19">
        <f t="shared" si="16"/>
        <v>37663.71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2250.52</v>
      </c>
      <c r="I321" s="18"/>
      <c r="J321" s="18"/>
      <c r="K321" s="18">
        <v>2728.47</v>
      </c>
      <c r="L321" s="19">
        <f t="shared" si="16"/>
        <v>4978.99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350</v>
      </c>
      <c r="I322" s="18"/>
      <c r="J322" s="18"/>
      <c r="K322" s="18"/>
      <c r="L322" s="19">
        <f t="shared" si="16"/>
        <v>350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17000</v>
      </c>
      <c r="K324" s="18"/>
      <c r="L324" s="19">
        <f t="shared" si="16"/>
        <v>17000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75789.42</v>
      </c>
      <c r="G328" s="42">
        <f t="shared" si="17"/>
        <v>24528.329999999998</v>
      </c>
      <c r="H328" s="42">
        <f t="shared" si="17"/>
        <v>72110.399999999994</v>
      </c>
      <c r="I328" s="42">
        <f t="shared" si="17"/>
        <v>13002.250000000002</v>
      </c>
      <c r="J328" s="42">
        <f t="shared" si="17"/>
        <v>25297.66</v>
      </c>
      <c r="K328" s="42">
        <f t="shared" si="17"/>
        <v>6078.07</v>
      </c>
      <c r="L328" s="41">
        <f t="shared" si="17"/>
        <v>216806.12999999998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>
        <v>6000</v>
      </c>
      <c r="I333" s="18"/>
      <c r="J333" s="18"/>
      <c r="K333" s="18"/>
      <c r="L333" s="19">
        <f t="shared" si="18"/>
        <v>6000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6000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6000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541940.95000000007</v>
      </c>
      <c r="G338" s="41">
        <f t="shared" si="20"/>
        <v>221545.71000000002</v>
      </c>
      <c r="H338" s="41">
        <f t="shared" si="20"/>
        <v>232107.81999999998</v>
      </c>
      <c r="I338" s="41">
        <f t="shared" si="20"/>
        <v>43696.26</v>
      </c>
      <c r="J338" s="41">
        <f t="shared" si="20"/>
        <v>103359.31</v>
      </c>
      <c r="K338" s="41">
        <f t="shared" si="20"/>
        <v>11451.849999999999</v>
      </c>
      <c r="L338" s="41">
        <f t="shared" si="20"/>
        <v>1154101.8999999999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541940.95000000007</v>
      </c>
      <c r="G352" s="41">
        <f>G338</f>
        <v>221545.71000000002</v>
      </c>
      <c r="H352" s="41">
        <f>H338</f>
        <v>232107.81999999998</v>
      </c>
      <c r="I352" s="41">
        <f>I338</f>
        <v>43696.26</v>
      </c>
      <c r="J352" s="41">
        <f>J338</f>
        <v>103359.31</v>
      </c>
      <c r="K352" s="47">
        <f>K338+K351</f>
        <v>11451.849999999999</v>
      </c>
      <c r="L352" s="41">
        <f>L338+L351</f>
        <v>1154101.8999999999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187244.25+1041.03</f>
        <v>188285.28</v>
      </c>
      <c r="I358" s="18">
        <v>19264.13</v>
      </c>
      <c r="J358" s="18"/>
      <c r="K358" s="18"/>
      <c r="L358" s="13">
        <f>SUM(F358:K358)</f>
        <v>207549.41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50411.92+280.28</f>
        <v>50692.2</v>
      </c>
      <c r="I359" s="18">
        <v>5186.5</v>
      </c>
      <c r="J359" s="18"/>
      <c r="K359" s="18"/>
      <c r="L359" s="19">
        <f>SUM(F359:K359)</f>
        <v>55878.7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122428.94+680.68</f>
        <v>123109.62</v>
      </c>
      <c r="I360" s="18">
        <v>12595.78</v>
      </c>
      <c r="J360" s="18"/>
      <c r="K360" s="18"/>
      <c r="L360" s="19">
        <f>SUM(F360:K360)</f>
        <v>135705.4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362087.1</v>
      </c>
      <c r="I362" s="47">
        <f t="shared" si="22"/>
        <v>37046.410000000003</v>
      </c>
      <c r="J362" s="47">
        <f t="shared" si="22"/>
        <v>0</v>
      </c>
      <c r="K362" s="47">
        <f t="shared" si="22"/>
        <v>0</v>
      </c>
      <c r="L362" s="47">
        <f t="shared" si="22"/>
        <v>399133.51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17566.55</v>
      </c>
      <c r="G367" s="18">
        <v>4729.46</v>
      </c>
      <c r="H367" s="18">
        <v>11485.83</v>
      </c>
      <c r="I367" s="56">
        <f>SUM(F367:H367)</f>
        <v>33781.839999999997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1697.58</v>
      </c>
      <c r="G368" s="63">
        <v>457.04</v>
      </c>
      <c r="H368" s="63">
        <v>1109.95</v>
      </c>
      <c r="I368" s="56">
        <f>SUM(F368:H368)</f>
        <v>3264.5699999999997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19264.129999999997</v>
      </c>
      <c r="G369" s="47">
        <f>SUM(G367:G368)</f>
        <v>5186.5</v>
      </c>
      <c r="H369" s="47">
        <f>SUM(H367:H368)</f>
        <v>12595.78</v>
      </c>
      <c r="I369" s="47">
        <f>SUM(I367:I368)</f>
        <v>37046.409999999996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f>44.94</f>
        <v>44.94</v>
      </c>
      <c r="I387" s="18"/>
      <c r="J387" s="24" t="s">
        <v>289</v>
      </c>
      <c r="K387" s="24" t="s">
        <v>289</v>
      </c>
      <c r="L387" s="56">
        <f t="shared" ref="L387:L392" si="25">SUM(F387:K387)</f>
        <v>44.94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222.26</f>
        <v>222.26</v>
      </c>
      <c r="I389" s="18"/>
      <c r="J389" s="24" t="s">
        <v>289</v>
      </c>
      <c r="K389" s="24" t="s">
        <v>289</v>
      </c>
      <c r="L389" s="56">
        <f t="shared" si="25"/>
        <v>222.26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>
        <v>10000</v>
      </c>
      <c r="H391" s="18">
        <v>35.29</v>
      </c>
      <c r="I391" s="18"/>
      <c r="J391" s="24" t="s">
        <v>289</v>
      </c>
      <c r="K391" s="24" t="s">
        <v>289</v>
      </c>
      <c r="L391" s="56">
        <f t="shared" si="25"/>
        <v>10035.290000000001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f>917.42+9327.31</f>
        <v>10244.73</v>
      </c>
      <c r="I392" s="18"/>
      <c r="J392" s="24" t="s">
        <v>289</v>
      </c>
      <c r="K392" s="24" t="s">
        <v>289</v>
      </c>
      <c r="L392" s="56">
        <f t="shared" si="25"/>
        <v>10244.73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10547.22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20547.22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10547.22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20547.22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280000</v>
      </c>
      <c r="L415" s="56">
        <f t="shared" si="27"/>
        <v>280000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266639</v>
      </c>
      <c r="L418" s="56">
        <f t="shared" si="27"/>
        <v>266639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546639</v>
      </c>
      <c r="L419" s="47">
        <f t="shared" si="28"/>
        <v>546639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546639</v>
      </c>
      <c r="L434" s="47">
        <f t="shared" si="32"/>
        <v>546639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-280000+320707.58+64839.09+259938.27+10000+44.94+222.26+917.42+35.29+300000-266639+9327.31+42181.97</f>
        <v>461575.13</v>
      </c>
      <c r="G439" s="18"/>
      <c r="H439" s="18"/>
      <c r="I439" s="56">
        <f t="shared" ref="I439:I445" si="33">SUM(F439:H439)</f>
        <v>461575.13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461575.13</v>
      </c>
      <c r="G446" s="13">
        <f>SUM(G439:G445)</f>
        <v>0</v>
      </c>
      <c r="H446" s="13">
        <f>SUM(H439:H445)</f>
        <v>0</v>
      </c>
      <c r="I446" s="13">
        <f>SUM(I439:I445)</f>
        <v>461575.13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10000-280000+320707.58+64839.09+259938.27+10000+44.94+222.26+917.42+35.29-10000-266639+300000+9327.31+42181.97</f>
        <v>461575.13</v>
      </c>
      <c r="G459" s="18"/>
      <c r="H459" s="18"/>
      <c r="I459" s="56">
        <f t="shared" si="34"/>
        <v>461575.13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461575.13</v>
      </c>
      <c r="G460" s="83">
        <f>SUM(G454:G459)</f>
        <v>0</v>
      </c>
      <c r="H460" s="83">
        <f>SUM(H454:H459)</f>
        <v>0</v>
      </c>
      <c r="I460" s="83">
        <f>SUM(I454:I459)</f>
        <v>461575.13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461575.13</v>
      </c>
      <c r="G461" s="42">
        <f>G452+G460</f>
        <v>0</v>
      </c>
      <c r="H461" s="42">
        <f>H452+H460</f>
        <v>0</v>
      </c>
      <c r="I461" s="42">
        <f>I452+I460</f>
        <v>461575.13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186804.12</v>
      </c>
      <c r="G465" s="18">
        <v>4042.61</v>
      </c>
      <c r="H465" s="18">
        <v>0</v>
      </c>
      <c r="I465" s="18"/>
      <c r="J465" s="18">
        <f>320707.58+64839.09+259938.27+10000-10000+300000+42181.97</f>
        <v>987666.91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16382641.66</v>
      </c>
      <c r="G468" s="18">
        <v>399133.51</v>
      </c>
      <c r="H468" s="18">
        <v>1154101.8999999999</v>
      </c>
      <c r="I468" s="18"/>
      <c r="J468" s="18">
        <f>10000+44.94+222.26+917.42+35.29+9327.31</f>
        <v>20547.22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16382641.66</v>
      </c>
      <c r="G470" s="53">
        <f>SUM(G468:G469)</f>
        <v>399133.51</v>
      </c>
      <c r="H470" s="53">
        <f>SUM(H468:H469)</f>
        <v>1154101.8999999999</v>
      </c>
      <c r="I470" s="53">
        <f>SUM(I468:I469)</f>
        <v>0</v>
      </c>
      <c r="J470" s="53">
        <f>SUM(J468:J469)</f>
        <v>20547.22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16248292.039999999</v>
      </c>
      <c r="G472" s="18">
        <v>399133.51</v>
      </c>
      <c r="H472" s="18">
        <v>1154101.8999999999</v>
      </c>
      <c r="I472" s="18"/>
      <c r="J472" s="18">
        <f>280000+266639</f>
        <v>546639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16248292.039999999</v>
      </c>
      <c r="G474" s="53">
        <f>SUM(G472:G473)</f>
        <v>399133.51</v>
      </c>
      <c r="H474" s="53">
        <f>SUM(H472:H473)</f>
        <v>1154101.8999999999</v>
      </c>
      <c r="I474" s="53">
        <f>SUM(I472:I473)</f>
        <v>0</v>
      </c>
      <c r="J474" s="53">
        <f>SUM(J472:J473)</f>
        <v>546639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321153.74000000022</v>
      </c>
      <c r="G476" s="53">
        <f>(G465+G470)- G474</f>
        <v>4042.609999999986</v>
      </c>
      <c r="H476" s="53">
        <f>(H465+H470)- H474</f>
        <v>0</v>
      </c>
      <c r="I476" s="53">
        <f>(I465+I470)- I474</f>
        <v>0</v>
      </c>
      <c r="J476" s="53">
        <f>(J465+J470)- J474</f>
        <v>461575.13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10156100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7100000</v>
      </c>
      <c r="G495" s="18"/>
      <c r="H495" s="18"/>
      <c r="I495" s="18"/>
      <c r="J495" s="18"/>
      <c r="K495" s="53">
        <f>SUM(F495:J495)</f>
        <v>7100000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510000</v>
      </c>
      <c r="G497" s="18"/>
      <c r="H497" s="18"/>
      <c r="I497" s="18"/>
      <c r="J497" s="18"/>
      <c r="K497" s="53">
        <f t="shared" si="35"/>
        <v>510000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6590000</v>
      </c>
      <c r="G498" s="204"/>
      <c r="H498" s="204"/>
      <c r="I498" s="204"/>
      <c r="J498" s="204"/>
      <c r="K498" s="205">
        <f t="shared" si="35"/>
        <v>6590000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4769866.09-299124-3023140.09</f>
        <v>1447602</v>
      </c>
      <c r="G499" s="18"/>
      <c r="H499" s="18"/>
      <c r="I499" s="18"/>
      <c r="J499" s="18"/>
      <c r="K499" s="53">
        <f t="shared" si="35"/>
        <v>1447602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8037602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8037602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510000</f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159700+146950</f>
        <v>306650</v>
      </c>
      <c r="G502" s="18"/>
      <c r="H502" s="18"/>
      <c r="I502" s="18"/>
      <c r="J502" s="18"/>
      <c r="K502" s="53">
        <f t="shared" si="35"/>
        <v>306650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816650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816650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0</v>
      </c>
      <c r="G507" s="144">
        <f>H507+I507</f>
        <v>2110054.35</v>
      </c>
      <c r="H507" s="144">
        <v>336600.61</v>
      </c>
      <c r="I507" s="144">
        <v>1773453.74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877304.49</v>
      </c>
      <c r="G521" s="18">
        <v>299835.39</v>
      </c>
      <c r="H521" s="18">
        <v>415667</v>
      </c>
      <c r="I521" s="18">
        <v>5145.59</v>
      </c>
      <c r="J521" s="18">
        <v>93.6</v>
      </c>
      <c r="K521" s="18">
        <v>1375.4</v>
      </c>
      <c r="L521" s="88">
        <f>SUM(F521:K521)</f>
        <v>1599421.47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203632.02</v>
      </c>
      <c r="G522" s="18">
        <v>84433.93</v>
      </c>
      <c r="H522" s="18">
        <v>205981.16</v>
      </c>
      <c r="I522" s="18">
        <v>511.04</v>
      </c>
      <c r="J522" s="18">
        <v>0</v>
      </c>
      <c r="K522" s="18">
        <v>370.3</v>
      </c>
      <c r="L522" s="88">
        <f>SUM(F522:K522)</f>
        <v>494928.44999999995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342034.17</v>
      </c>
      <c r="G523" s="18">
        <v>187259.34</v>
      </c>
      <c r="H523" s="18">
        <v>792516.06</v>
      </c>
      <c r="I523" s="18">
        <v>756.12</v>
      </c>
      <c r="J523" s="18">
        <v>0</v>
      </c>
      <c r="K523" s="18">
        <v>899.3</v>
      </c>
      <c r="L523" s="88">
        <f>SUM(F523:K523)</f>
        <v>1323464.9900000002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1422970.68</v>
      </c>
      <c r="G524" s="108">
        <f t="shared" ref="G524:L524" si="36">SUM(G521:G523)</f>
        <v>571528.66</v>
      </c>
      <c r="H524" s="108">
        <f t="shared" si="36"/>
        <v>1414164.2200000002</v>
      </c>
      <c r="I524" s="108">
        <f t="shared" si="36"/>
        <v>6412.75</v>
      </c>
      <c r="J524" s="108">
        <f t="shared" si="36"/>
        <v>93.6</v>
      </c>
      <c r="K524" s="108">
        <f t="shared" si="36"/>
        <v>2645</v>
      </c>
      <c r="L524" s="89">
        <f t="shared" si="36"/>
        <v>3417814.91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282035.92</v>
      </c>
      <c r="G526" s="18">
        <v>124482.44</v>
      </c>
      <c r="H526" s="18">
        <v>241980.84</v>
      </c>
      <c r="I526" s="18">
        <v>2964.85</v>
      </c>
      <c r="J526" s="18"/>
      <c r="K526" s="18"/>
      <c r="L526" s="88">
        <f>SUM(F526:K526)</f>
        <v>651464.04999999993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9425.4699999999993</v>
      </c>
      <c r="G527" s="18">
        <v>796.26</v>
      </c>
      <c r="H527" s="18">
        <v>21320.04</v>
      </c>
      <c r="I527" s="18">
        <v>140.06</v>
      </c>
      <c r="J527" s="18"/>
      <c r="K527" s="18"/>
      <c r="L527" s="88">
        <f>SUM(F527:K527)</f>
        <v>31681.83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116836.36</v>
      </c>
      <c r="G528" s="18">
        <v>18831.259999999998</v>
      </c>
      <c r="H528" s="18">
        <v>90554.91</v>
      </c>
      <c r="I528" s="18">
        <v>1486.14</v>
      </c>
      <c r="J528" s="18"/>
      <c r="K528" s="18"/>
      <c r="L528" s="88">
        <f>SUM(F528:K528)</f>
        <v>227708.67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408297.74999999994</v>
      </c>
      <c r="G529" s="89">
        <f t="shared" ref="G529:L529" si="37">SUM(G526:G528)</f>
        <v>144109.96</v>
      </c>
      <c r="H529" s="89">
        <f t="shared" si="37"/>
        <v>353855.79000000004</v>
      </c>
      <c r="I529" s="89">
        <f t="shared" si="37"/>
        <v>4591.05</v>
      </c>
      <c r="J529" s="89">
        <f t="shared" si="37"/>
        <v>0</v>
      </c>
      <c r="K529" s="89">
        <f t="shared" si="37"/>
        <v>0</v>
      </c>
      <c r="L529" s="89">
        <f t="shared" si="37"/>
        <v>910854.54999999993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17594.46</v>
      </c>
      <c r="G531" s="18">
        <v>9760.2999999999993</v>
      </c>
      <c r="H531" s="18"/>
      <c r="I531" s="18"/>
      <c r="J531" s="18"/>
      <c r="K531" s="18"/>
      <c r="L531" s="88">
        <f>SUM(F531:K531)</f>
        <v>27354.76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4736.97</v>
      </c>
      <c r="G532" s="18">
        <v>2627.77</v>
      </c>
      <c r="H532" s="18"/>
      <c r="I532" s="18"/>
      <c r="J532" s="18"/>
      <c r="K532" s="18"/>
      <c r="L532" s="88">
        <f>SUM(F532:K532)</f>
        <v>7364.74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11504.07</v>
      </c>
      <c r="G533" s="18">
        <v>6381.74</v>
      </c>
      <c r="H533" s="18"/>
      <c r="I533" s="18"/>
      <c r="J533" s="18"/>
      <c r="K533" s="18"/>
      <c r="L533" s="88">
        <f>SUM(F533:K533)</f>
        <v>17885.809999999998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33835.5</v>
      </c>
      <c r="G534" s="89">
        <f t="shared" ref="G534:L534" si="38">SUM(G531:G533)</f>
        <v>18769.809999999998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52605.31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45932.58</v>
      </c>
      <c r="G541" s="18">
        <v>15382.16</v>
      </c>
      <c r="H541" s="18">
        <v>103749.01</v>
      </c>
      <c r="I541" s="18">
        <v>12329.97</v>
      </c>
      <c r="J541" s="18"/>
      <c r="K541" s="18"/>
      <c r="L541" s="88">
        <f>SUM(F541:K541)</f>
        <v>177393.72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12366.47</v>
      </c>
      <c r="G542" s="18">
        <v>4141.3599999999997</v>
      </c>
      <c r="H542" s="18">
        <v>27932.43</v>
      </c>
      <c r="I542" s="18">
        <v>3319.61</v>
      </c>
      <c r="J542" s="18"/>
      <c r="K542" s="18"/>
      <c r="L542" s="88">
        <f>SUM(F542:K542)</f>
        <v>47759.869999999995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30032.85</v>
      </c>
      <c r="G543" s="18">
        <v>10057.57</v>
      </c>
      <c r="H543" s="18">
        <v>67835.899999999994</v>
      </c>
      <c r="I543" s="18">
        <v>9358.3700000000008</v>
      </c>
      <c r="J543" s="18"/>
      <c r="K543" s="18"/>
      <c r="L543" s="88">
        <f>SUM(F543:K543)</f>
        <v>117284.68999999999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88331.9</v>
      </c>
      <c r="G544" s="193">
        <f t="shared" ref="G544:L544" si="40">SUM(G541:G543)</f>
        <v>29581.09</v>
      </c>
      <c r="H544" s="193">
        <f t="shared" si="40"/>
        <v>199517.34</v>
      </c>
      <c r="I544" s="193">
        <f t="shared" si="40"/>
        <v>25007.95</v>
      </c>
      <c r="J544" s="193">
        <f t="shared" si="40"/>
        <v>0</v>
      </c>
      <c r="K544" s="193">
        <f t="shared" si="40"/>
        <v>0</v>
      </c>
      <c r="L544" s="193">
        <f t="shared" si="40"/>
        <v>342438.27999999997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1953435.8299999998</v>
      </c>
      <c r="G545" s="89">
        <f t="shared" ref="G545:L545" si="41">G524+G529+G534+G539+G544</f>
        <v>763989.5199999999</v>
      </c>
      <c r="H545" s="89">
        <f t="shared" si="41"/>
        <v>1967537.3500000003</v>
      </c>
      <c r="I545" s="89">
        <f t="shared" si="41"/>
        <v>36011.75</v>
      </c>
      <c r="J545" s="89">
        <f t="shared" si="41"/>
        <v>93.6</v>
      </c>
      <c r="K545" s="89">
        <f t="shared" si="41"/>
        <v>2645</v>
      </c>
      <c r="L545" s="89">
        <f t="shared" si="41"/>
        <v>4723713.05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1599421.47</v>
      </c>
      <c r="G549" s="87">
        <f>L526</f>
        <v>651464.04999999993</v>
      </c>
      <c r="H549" s="87">
        <f>L531</f>
        <v>27354.76</v>
      </c>
      <c r="I549" s="87">
        <f>L536</f>
        <v>0</v>
      </c>
      <c r="J549" s="87">
        <f>L541</f>
        <v>177393.72</v>
      </c>
      <c r="K549" s="87">
        <f>SUM(F549:J549)</f>
        <v>2455634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494928.44999999995</v>
      </c>
      <c r="G550" s="87">
        <f>L527</f>
        <v>31681.83</v>
      </c>
      <c r="H550" s="87">
        <f>L532</f>
        <v>7364.74</v>
      </c>
      <c r="I550" s="87">
        <f>L537</f>
        <v>0</v>
      </c>
      <c r="J550" s="87">
        <f>L542</f>
        <v>47759.869999999995</v>
      </c>
      <c r="K550" s="87">
        <f>SUM(F550:J550)</f>
        <v>581734.8899999999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1323464.9900000002</v>
      </c>
      <c r="G551" s="87">
        <f>L528</f>
        <v>227708.67</v>
      </c>
      <c r="H551" s="87">
        <f>L533</f>
        <v>17885.809999999998</v>
      </c>
      <c r="I551" s="87">
        <f>L538</f>
        <v>0</v>
      </c>
      <c r="J551" s="87">
        <f>L543</f>
        <v>117284.68999999999</v>
      </c>
      <c r="K551" s="87">
        <f>SUM(F551:J551)</f>
        <v>1686344.1600000001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3417814.91</v>
      </c>
      <c r="G552" s="89">
        <f t="shared" si="42"/>
        <v>910854.54999999993</v>
      </c>
      <c r="H552" s="89">
        <f t="shared" si="42"/>
        <v>52605.31</v>
      </c>
      <c r="I552" s="89">
        <f t="shared" si="42"/>
        <v>0</v>
      </c>
      <c r="J552" s="89">
        <f t="shared" si="42"/>
        <v>342438.27999999997</v>
      </c>
      <c r="K552" s="89">
        <f t="shared" si="42"/>
        <v>4723713.05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6637.42</v>
      </c>
      <c r="G562" s="18">
        <f>553.91+0.01</f>
        <v>553.91999999999996</v>
      </c>
      <c r="H562" s="18"/>
      <c r="I562" s="18"/>
      <c r="J562" s="18"/>
      <c r="K562" s="18"/>
      <c r="L562" s="88">
        <f>SUM(F562:K562)</f>
        <v>7191.34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1787</v>
      </c>
      <c r="G563" s="18">
        <v>149.13</v>
      </c>
      <c r="H563" s="18"/>
      <c r="I563" s="18"/>
      <c r="J563" s="18"/>
      <c r="K563" s="18"/>
      <c r="L563" s="88">
        <f>SUM(F563:K563)</f>
        <v>1936.13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4339.84</v>
      </c>
      <c r="G564" s="18">
        <v>362.17</v>
      </c>
      <c r="H564" s="18"/>
      <c r="I564" s="18"/>
      <c r="J564" s="18"/>
      <c r="K564" s="18"/>
      <c r="L564" s="88">
        <f>SUM(F564:K564)</f>
        <v>4702.01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12764.26</v>
      </c>
      <c r="G565" s="89">
        <f t="shared" si="44"/>
        <v>1065.22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13829.480000000001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>
        <f>116.25</f>
        <v>116.25</v>
      </c>
      <c r="H567" s="18">
        <v>10589.47</v>
      </c>
      <c r="I567" s="18"/>
      <c r="J567" s="18"/>
      <c r="K567" s="18"/>
      <c r="L567" s="88">
        <f>SUM(F567:K567)</f>
        <v>10705.72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>
        <v>31.3</v>
      </c>
      <c r="H568" s="18">
        <v>2851</v>
      </c>
      <c r="I568" s="18"/>
      <c r="J568" s="18"/>
      <c r="K568" s="18"/>
      <c r="L568" s="88">
        <f>SUM(F568:K568)</f>
        <v>2882.3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>
        <v>76</v>
      </c>
      <c r="H569" s="18">
        <v>6923.88</v>
      </c>
      <c r="I569" s="18"/>
      <c r="J569" s="18"/>
      <c r="K569" s="18"/>
      <c r="L569" s="88">
        <f>SUM(F569:K569)</f>
        <v>6999.88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223.55</v>
      </c>
      <c r="H570" s="193">
        <f t="shared" si="45"/>
        <v>20364.349999999999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20587.900000000001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12764.26</v>
      </c>
      <c r="G571" s="89">
        <f t="shared" ref="G571:L571" si="46">G560+G565+G570</f>
        <v>1288.77</v>
      </c>
      <c r="H571" s="89">
        <f t="shared" si="46"/>
        <v>20364.349999999999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34417.380000000005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3963.77+5022+2650</f>
        <v>11635.77</v>
      </c>
      <c r="I575" s="87">
        <f>SUM(F575:H575)</f>
        <v>11635.77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365027.18</v>
      </c>
      <c r="G582" s="18">
        <v>197027.86</v>
      </c>
      <c r="H582" s="18">
        <v>762988.08</v>
      </c>
      <c r="I582" s="87">
        <f t="shared" si="47"/>
        <v>1325043.1200000001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8422.11</v>
      </c>
      <c r="I584" s="87">
        <f t="shared" si="47"/>
        <v>8422.11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165191.62</v>
      </c>
      <c r="I591" s="18">
        <v>45605.83</v>
      </c>
      <c r="J591" s="18">
        <v>111107.1</v>
      </c>
      <c r="K591" s="104">
        <f t="shared" ref="K591:K597" si="48">SUM(H591:J591)</f>
        <v>321904.55000000005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177393.73</v>
      </c>
      <c r="I592" s="18">
        <v>47759.87</v>
      </c>
      <c r="J592" s="18">
        <v>117284.68</v>
      </c>
      <c r="K592" s="104">
        <f t="shared" si="48"/>
        <v>342438.28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342.73+39.45+584.53+157.38</f>
        <v>1124.0900000000001</v>
      </c>
      <c r="K593" s="104">
        <f t="shared" si="48"/>
        <v>1124.0900000000001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2201.8000000000002</v>
      </c>
      <c r="J594" s="18">
        <v>18929.53</v>
      </c>
      <c r="K594" s="104">
        <f t="shared" si="48"/>
        <v>21131.329999999998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4327.3900000000003</v>
      </c>
      <c r="I595" s="18">
        <v>1371.17</v>
      </c>
      <c r="J595" s="18">
        <f>3924.47</f>
        <v>3924.47</v>
      </c>
      <c r="K595" s="104">
        <f t="shared" si="48"/>
        <v>9623.0300000000007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701.49</v>
      </c>
      <c r="I597" s="18">
        <v>188.86</v>
      </c>
      <c r="J597" s="18">
        <v>458.68</v>
      </c>
      <c r="K597" s="104">
        <f t="shared" si="48"/>
        <v>1349.03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347614.23</v>
      </c>
      <c r="I598" s="108">
        <f>SUM(I591:I597)</f>
        <v>97127.530000000013</v>
      </c>
      <c r="J598" s="108">
        <f>SUM(J591:J597)</f>
        <v>252828.55</v>
      </c>
      <c r="K598" s="108">
        <f>SUM(K591:K597)</f>
        <v>697570.31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80752.7</v>
      </c>
      <c r="I604" s="18">
        <v>14341.47</v>
      </c>
      <c r="J604" s="18">
        <v>253047.28</v>
      </c>
      <c r="K604" s="104">
        <f>SUM(H604:J604)</f>
        <v>348141.45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80752.7</v>
      </c>
      <c r="I605" s="108">
        <f>SUM(I602:I604)</f>
        <v>14341.47</v>
      </c>
      <c r="J605" s="108">
        <f>SUM(J602:J604)</f>
        <v>253047.28</v>
      </c>
      <c r="K605" s="108">
        <f>SUM(K602:K604)</f>
        <v>348141.45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10212.11+55181.96</f>
        <v>65394.07</v>
      </c>
      <c r="G611" s="18">
        <f>1255.48+7075.47</f>
        <v>8330.9500000000007</v>
      </c>
      <c r="H611" s="18"/>
      <c r="I611" s="18">
        <v>284.08999999999997</v>
      </c>
      <c r="J611" s="18"/>
      <c r="K611" s="18"/>
      <c r="L611" s="88">
        <f>SUM(F611:K611)</f>
        <v>74009.11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6676.29+698.82</f>
        <v>7375.11</v>
      </c>
      <c r="G612" s="18">
        <f>1330.27+90.76</f>
        <v>1421.03</v>
      </c>
      <c r="H612" s="18"/>
      <c r="I612" s="18"/>
      <c r="J612" s="18"/>
      <c r="K612" s="18"/>
      <c r="L612" s="88">
        <f>SUM(F612:K612)</f>
        <v>8796.14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16345.39+1697.13</f>
        <v>18042.52</v>
      </c>
      <c r="G613" s="18">
        <f>3256.86+164.21+220.42</f>
        <v>3641.4900000000002</v>
      </c>
      <c r="H613" s="18"/>
      <c r="I613" s="18"/>
      <c r="J613" s="18"/>
      <c r="K613" s="18"/>
      <c r="L613" s="88">
        <f>SUM(F613:K613)</f>
        <v>21684.010000000002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90811.7</v>
      </c>
      <c r="G614" s="108">
        <f t="shared" si="49"/>
        <v>13393.470000000001</v>
      </c>
      <c r="H614" s="108">
        <f t="shared" si="49"/>
        <v>0</v>
      </c>
      <c r="I614" s="108">
        <f t="shared" si="49"/>
        <v>284.08999999999997</v>
      </c>
      <c r="J614" s="108">
        <f t="shared" si="49"/>
        <v>0</v>
      </c>
      <c r="K614" s="108">
        <f t="shared" si="49"/>
        <v>0</v>
      </c>
      <c r="L614" s="89">
        <f t="shared" si="49"/>
        <v>104489.26000000001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462185.65</v>
      </c>
      <c r="H617" s="109">
        <f>SUM(F52)</f>
        <v>462185.64999999997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80659.09</v>
      </c>
      <c r="H618" s="109">
        <f>SUM(G52)</f>
        <v>80659.09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188766</v>
      </c>
      <c r="H619" s="109">
        <f>SUM(H52)</f>
        <v>188766.00000000003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461575.13</v>
      </c>
      <c r="H621" s="109">
        <f>SUM(J52)</f>
        <v>461575.13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321153.74</v>
      </c>
      <c r="H622" s="109">
        <f>F476</f>
        <v>321153.74000000022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4042.6100000000006</v>
      </c>
      <c r="H623" s="109">
        <f>G476</f>
        <v>4042.609999999986</v>
      </c>
      <c r="I623" s="121" t="s">
        <v>102</v>
      </c>
      <c r="J623" s="109">
        <f t="shared" si="50"/>
        <v>1.4551915228366852E-11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461575.13</v>
      </c>
      <c r="H626" s="109">
        <f>J476</f>
        <v>461575.13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16382641.66</v>
      </c>
      <c r="H627" s="104">
        <f>SUM(F468)</f>
        <v>16382641.66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399133.51</v>
      </c>
      <c r="H628" s="104">
        <f>SUM(G468)</f>
        <v>399133.51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1154101.9000000001</v>
      </c>
      <c r="H629" s="104">
        <f>SUM(H468)</f>
        <v>1154101.8999999999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20547.22</v>
      </c>
      <c r="H631" s="104">
        <f>SUM(J468)</f>
        <v>20547.22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16248292.039999997</v>
      </c>
      <c r="H632" s="104">
        <f>SUM(F472)</f>
        <v>16248292.039999999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1154101.8999999999</v>
      </c>
      <c r="H633" s="104">
        <f>SUM(H472)</f>
        <v>1154101.8999999999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37046.410000000003</v>
      </c>
      <c r="H634" s="104">
        <f>I369</f>
        <v>37046.409999999996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399133.51</v>
      </c>
      <c r="H635" s="104">
        <f>SUM(G472)</f>
        <v>399133.51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20547.22</v>
      </c>
      <c r="H637" s="164">
        <f>SUM(J468)</f>
        <v>20547.22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546639</v>
      </c>
      <c r="H638" s="164">
        <f>SUM(J472)</f>
        <v>546639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461575.13</v>
      </c>
      <c r="H639" s="104">
        <f>SUM(F461)</f>
        <v>461575.13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461575.13</v>
      </c>
      <c r="H642" s="104">
        <f>SUM(I461)</f>
        <v>461575.13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10547.22</v>
      </c>
      <c r="H644" s="104">
        <f>H408</f>
        <v>10547.22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20547.22</v>
      </c>
      <c r="H646" s="104">
        <f>L408</f>
        <v>20547.22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697570.31</v>
      </c>
      <c r="H647" s="104">
        <f>L208+L226+L244</f>
        <v>697570.30999999994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348141.45</v>
      </c>
      <c r="H648" s="104">
        <f>(J257+J338)-(J255+J336)</f>
        <v>348141.45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347614.23</v>
      </c>
      <c r="H649" s="104">
        <f>H598</f>
        <v>347614.23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97127.529999999984</v>
      </c>
      <c r="H650" s="104">
        <f>I598</f>
        <v>97127.530000000013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252828.55</v>
      </c>
      <c r="H651" s="104">
        <f>J598</f>
        <v>252828.55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4255.3100000000004</v>
      </c>
      <c r="H652" s="104">
        <f>K263+K345</f>
        <v>4255.3099999999995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7722440.5299999993</v>
      </c>
      <c r="G660" s="19">
        <f>(L229+L309+L359)</f>
        <v>2149341.75</v>
      </c>
      <c r="H660" s="19">
        <f>(L247+L328+L360)</f>
        <v>7069252.3599999994</v>
      </c>
      <c r="I660" s="19">
        <f>SUM(F660:H660)</f>
        <v>16941034.640000001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58479.018917255533</v>
      </c>
      <c r="G661" s="19">
        <f>(L359/IF(SUM(L358:L360)=0,1,SUM(L358:L360))*(SUM(G97:G110)))</f>
        <v>15744.354823131736</v>
      </c>
      <c r="H661" s="19">
        <f>(L360/IF(SUM(L358:L360)=0,1,SUM(L358:L360))*(SUM(G97:G110)))</f>
        <v>38236.286259612731</v>
      </c>
      <c r="I661" s="19">
        <f>SUM(F661:H661)</f>
        <v>112459.66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351435.73</v>
      </c>
      <c r="G662" s="19">
        <f>(L226+L306)-(J226+J306)</f>
        <v>98146.029999999984</v>
      </c>
      <c r="H662" s="19">
        <f>(L244+L325)-(J244+J325)</f>
        <v>253338.55</v>
      </c>
      <c r="I662" s="19">
        <f>SUM(F662:H662)</f>
        <v>702920.30999999994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519788.99</v>
      </c>
      <c r="G663" s="199">
        <f>SUM(G575:G587)+SUM(I602:I604)+L612</f>
        <v>220165.46999999997</v>
      </c>
      <c r="H663" s="199">
        <f>SUM(H575:H587)+SUM(J602:J604)+L613</f>
        <v>1057777.25</v>
      </c>
      <c r="I663" s="19">
        <f>SUM(F663:H663)</f>
        <v>1797731.71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6792736.7910827436</v>
      </c>
      <c r="G664" s="19">
        <f>G660-SUM(G661:G663)</f>
        <v>1815285.8951768684</v>
      </c>
      <c r="H664" s="19">
        <f>H660-SUM(H661:H663)</f>
        <v>5719900.2737403866</v>
      </c>
      <c r="I664" s="19">
        <f>I660-SUM(I661:I663)</f>
        <v>14327922.960000001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457.9</v>
      </c>
      <c r="G665" s="248">
        <v>128.1</v>
      </c>
      <c r="H665" s="248">
        <v>332.62</v>
      </c>
      <c r="I665" s="19">
        <f>SUM(F665:H665)</f>
        <v>918.62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14834.54</v>
      </c>
      <c r="G667" s="19">
        <f>ROUND(G664/G665,2)</f>
        <v>14170.85</v>
      </c>
      <c r="H667" s="19">
        <f>ROUND(H664/H665,2)</f>
        <v>17196.5</v>
      </c>
      <c r="I667" s="19">
        <f>ROUND(I664/I665,2)</f>
        <v>15597.23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4.2300000000000004</v>
      </c>
      <c r="I670" s="19">
        <f>SUM(F670:H670)</f>
        <v>4.2300000000000004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14834.54</v>
      </c>
      <c r="G672" s="19">
        <f>ROUND((G664+G669)/(G665+G670),2)</f>
        <v>14170.85</v>
      </c>
      <c r="H672" s="19">
        <f>ROUND((H664+H669)/(H665+H670),2)</f>
        <v>16980.560000000001</v>
      </c>
      <c r="I672" s="19">
        <f>ROUND((I664+I669)/(I665+I670),2)</f>
        <v>15525.73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Newport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3473037.52</v>
      </c>
      <c r="C9" s="229">
        <f>'DOE25'!G197+'DOE25'!G215+'DOE25'!G233+'DOE25'!G276+'DOE25'!G295+'DOE25'!G314</f>
        <v>1755888.6700000002</v>
      </c>
    </row>
    <row r="10" spans="1:3" x14ac:dyDescent="0.2">
      <c r="A10" t="s">
        <v>779</v>
      </c>
      <c r="B10" s="240">
        <f>3137893.55+118699.17</f>
        <v>3256592.7199999997</v>
      </c>
      <c r="C10" s="240">
        <f>1678254+20908.78-5559.49</f>
        <v>1693603.29</v>
      </c>
    </row>
    <row r="11" spans="1:3" x14ac:dyDescent="0.2">
      <c r="A11" t="s">
        <v>780</v>
      </c>
      <c r="B11" s="240">
        <f>135061.75+8710</f>
        <v>143771.75</v>
      </c>
      <c r="C11" s="240">
        <f>72103.57+1588.33-1772854.68+1755888.67</f>
        <v>56725.889999999898</v>
      </c>
    </row>
    <row r="12" spans="1:3" x14ac:dyDescent="0.2">
      <c r="A12" t="s">
        <v>781</v>
      </c>
      <c r="B12" s="240">
        <v>72673.05</v>
      </c>
      <c r="C12" s="240">
        <v>5559.49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3473037.5199999996</v>
      </c>
      <c r="C13" s="231">
        <f>SUM(C10:C12)</f>
        <v>1755888.67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1435734.94</v>
      </c>
      <c r="C18" s="229">
        <f>'DOE25'!G198+'DOE25'!G216+'DOE25'!G234+'DOE25'!G277+'DOE25'!G296+'DOE25'!G315</f>
        <v>572824.29</v>
      </c>
    </row>
    <row r="19" spans="1:3" x14ac:dyDescent="0.2">
      <c r="A19" t="s">
        <v>779</v>
      </c>
      <c r="B19" s="240">
        <f>556115.01+126844.3</f>
        <v>682959.31</v>
      </c>
      <c r="C19" s="240">
        <f>297986.4+39125.23</f>
        <v>337111.63</v>
      </c>
    </row>
    <row r="20" spans="1:3" x14ac:dyDescent="0.2">
      <c r="A20" t="s">
        <v>780</v>
      </c>
      <c r="B20" s="240">
        <v>509660.67</v>
      </c>
      <c r="C20" s="240">
        <v>138162.66</v>
      </c>
    </row>
    <row r="21" spans="1:3" x14ac:dyDescent="0.2">
      <c r="A21" t="s">
        <v>781</v>
      </c>
      <c r="B21" s="240">
        <f>1435734.94-B19-B20</f>
        <v>243114.9599999999</v>
      </c>
      <c r="C21" s="240">
        <f>572824.29-C19-C20</f>
        <v>97550.000000000029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1435734.94</v>
      </c>
      <c r="C22" s="231">
        <f>SUM(C19:C21)</f>
        <v>572824.29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387188.39</v>
      </c>
      <c r="C27" s="234">
        <f>'DOE25'!G199+'DOE25'!G217+'DOE25'!G235+'DOE25'!G278+'DOE25'!G297+'DOE25'!G316</f>
        <v>186134.82</v>
      </c>
    </row>
    <row r="28" spans="1:3" x14ac:dyDescent="0.2">
      <c r="A28" t="s">
        <v>779</v>
      </c>
      <c r="B28" s="240">
        <v>386688.39</v>
      </c>
      <c r="C28" s="240">
        <f>186134.82-2.75</f>
        <v>186132.07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f>+B27-B28</f>
        <v>500</v>
      </c>
      <c r="C30" s="240">
        <f>+B30*0.0055</f>
        <v>2.75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387188.39</v>
      </c>
      <c r="C31" s="231">
        <f>SUM(C28:C30)</f>
        <v>186134.82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179853.24</v>
      </c>
      <c r="C36" s="235">
        <f>'DOE25'!G200+'DOE25'!G218+'DOE25'!G236+'DOE25'!G279+'DOE25'!G298+'DOE25'!G317</f>
        <v>44724.399999999994</v>
      </c>
    </row>
    <row r="37" spans="1:3" x14ac:dyDescent="0.2">
      <c r="A37" t="s">
        <v>779</v>
      </c>
      <c r="B37" s="240">
        <f>67477.47+29857.63</f>
        <v>97335.1</v>
      </c>
      <c r="C37" s="240">
        <f>44724.4-453.85</f>
        <v>44270.55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f>+B36-B37</f>
        <v>82518.139999999985</v>
      </c>
      <c r="C39" s="240">
        <v>453.85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179853.24</v>
      </c>
      <c r="C40" s="231">
        <f>SUM(C37:C39)</f>
        <v>44724.4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Newport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9127691.5599999987</v>
      </c>
      <c r="D5" s="20">
        <f>SUM('DOE25'!L197:L200)+SUM('DOE25'!L215:L218)+SUM('DOE25'!L233:L236)-F5-G5</f>
        <v>9069705.5799999982</v>
      </c>
      <c r="E5" s="243"/>
      <c r="F5" s="255">
        <f>SUM('DOE25'!J197:J200)+SUM('DOE25'!J215:J218)+SUM('DOE25'!J233:J236)</f>
        <v>36318.01</v>
      </c>
      <c r="G5" s="53">
        <f>SUM('DOE25'!K197:K200)+SUM('DOE25'!K215:K218)+SUM('DOE25'!K233:K236)</f>
        <v>21667.97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1666626.1600000001</v>
      </c>
      <c r="D6" s="20">
        <f>'DOE25'!L202+'DOE25'!L220+'DOE25'!L238-F6-G6</f>
        <v>1666546.1600000001</v>
      </c>
      <c r="E6" s="243"/>
      <c r="F6" s="255">
        <f>'DOE25'!J202+'DOE25'!J220+'DOE25'!J238</f>
        <v>0</v>
      </c>
      <c r="G6" s="53">
        <f>'DOE25'!K202+'DOE25'!K220+'DOE25'!K238</f>
        <v>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701178.35</v>
      </c>
      <c r="D7" s="20">
        <f>'DOE25'!L203+'DOE25'!L221+'DOE25'!L239-F7-G7</f>
        <v>637404.97</v>
      </c>
      <c r="E7" s="243"/>
      <c r="F7" s="255">
        <f>'DOE25'!J203+'DOE25'!J221+'DOE25'!J239</f>
        <v>54622.26</v>
      </c>
      <c r="G7" s="53">
        <f>'DOE25'!K203+'DOE25'!K221+'DOE25'!K239</f>
        <v>9151.119999999999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435946.02999999997</v>
      </c>
      <c r="D8" s="243"/>
      <c r="E8" s="20">
        <f>'DOE25'!L204+'DOE25'!L222+'DOE25'!L240-F8-G8-D9-D11</f>
        <v>428573</v>
      </c>
      <c r="F8" s="255">
        <f>'DOE25'!J204+'DOE25'!J222+'DOE25'!J240</f>
        <v>1032.22</v>
      </c>
      <c r="G8" s="53">
        <f>'DOE25'!K204+'DOE25'!K222+'DOE25'!K240</f>
        <v>6340.8099999999995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94486.399999999994</v>
      </c>
      <c r="D9" s="244">
        <v>94486.399999999994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23000</v>
      </c>
      <c r="D10" s="243"/>
      <c r="E10" s="244">
        <v>23000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389551.14</v>
      </c>
      <c r="D11" s="244">
        <v>389551.14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859190.59000000008</v>
      </c>
      <c r="D12" s="20">
        <f>'DOE25'!L205+'DOE25'!L223+'DOE25'!L241-F12-G12</f>
        <v>852417.29</v>
      </c>
      <c r="E12" s="243"/>
      <c r="F12" s="255">
        <f>'DOE25'!J205+'DOE25'!J223+'DOE25'!J241</f>
        <v>3691.3</v>
      </c>
      <c r="G12" s="53">
        <f>'DOE25'!K205+'DOE25'!K223+'DOE25'!K241</f>
        <v>3082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1421558.69</v>
      </c>
      <c r="D14" s="20">
        <f>'DOE25'!L207+'DOE25'!L225+'DOE25'!L243-F14-G14</f>
        <v>1270940.3399999999</v>
      </c>
      <c r="E14" s="243"/>
      <c r="F14" s="255">
        <f>'DOE25'!J207+'DOE25'!J225+'DOE25'!J243</f>
        <v>150618.35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697570.30999999994</v>
      </c>
      <c r="D15" s="20">
        <f>'DOE25'!L208+'DOE25'!L226+'DOE25'!L244-F15-G15</f>
        <v>698431.14999999991</v>
      </c>
      <c r="E15" s="243"/>
      <c r="F15" s="255">
        <f>'DOE25'!J208+'DOE25'!J226+'DOE25'!J244</f>
        <v>-1500</v>
      </c>
      <c r="G15" s="53">
        <f>'DOE25'!K208+'DOE25'!K226+'DOE25'!K244</f>
        <v>639.16000000000008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840237.5</v>
      </c>
      <c r="D25" s="243"/>
      <c r="E25" s="243"/>
      <c r="F25" s="258"/>
      <c r="G25" s="256"/>
      <c r="H25" s="257">
        <f>'DOE25'!L260+'DOE25'!L261+'DOE25'!L341+'DOE25'!L342</f>
        <v>840237.5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365351.67000000004</v>
      </c>
      <c r="D29" s="20">
        <f>'DOE25'!L358+'DOE25'!L359+'DOE25'!L360-'DOE25'!I367-F29-G29</f>
        <v>365351.67000000004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1154101.8999999999</v>
      </c>
      <c r="D31" s="20">
        <f>'DOE25'!L290+'DOE25'!L309+'DOE25'!L328+'DOE25'!L333+'DOE25'!L334+'DOE25'!L335-F31-G31</f>
        <v>1039290.7399999999</v>
      </c>
      <c r="E31" s="243"/>
      <c r="F31" s="255">
        <f>'DOE25'!J290+'DOE25'!J309+'DOE25'!J328+'DOE25'!J333+'DOE25'!J334+'DOE25'!J335</f>
        <v>103359.31</v>
      </c>
      <c r="G31" s="53">
        <f>'DOE25'!K290+'DOE25'!K309+'DOE25'!K328+'DOE25'!K333+'DOE25'!K334+'DOE25'!K335</f>
        <v>11451.849999999999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16084125.439999999</v>
      </c>
      <c r="E33" s="246">
        <f>SUM(E5:E31)</f>
        <v>451573</v>
      </c>
      <c r="F33" s="246">
        <f>SUM(F5:F31)</f>
        <v>348141.45</v>
      </c>
      <c r="G33" s="246">
        <f>SUM(G5:G31)</f>
        <v>52412.91</v>
      </c>
      <c r="H33" s="246">
        <f>SUM(H5:H31)</f>
        <v>840237.5</v>
      </c>
    </row>
    <row r="35" spans="2:8" ht="12" thickBot="1" x14ac:dyDescent="0.25">
      <c r="B35" s="253" t="s">
        <v>847</v>
      </c>
      <c r="D35" s="254">
        <f>E33</f>
        <v>451573</v>
      </c>
      <c r="E35" s="249"/>
    </row>
    <row r="36" spans="2:8" ht="12" thickTop="1" x14ac:dyDescent="0.2">
      <c r="B36" t="s">
        <v>815</v>
      </c>
      <c r="D36" s="20">
        <f>D33</f>
        <v>16084125.439999999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Newport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181531.4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461575.13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214483.11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52560.01</v>
      </c>
      <c r="D12" s="95">
        <f>'DOE25'!G13</f>
        <v>14210.13</v>
      </c>
      <c r="E12" s="95">
        <f>'DOE25'!H13</f>
        <v>187725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1149</v>
      </c>
      <c r="D13" s="95">
        <f>'DOE25'!G14</f>
        <v>53044.09</v>
      </c>
      <c r="E13" s="95">
        <f>'DOE25'!H14</f>
        <v>216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13404.87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12462.13</v>
      </c>
      <c r="D16" s="95">
        <f>'DOE25'!G17</f>
        <v>0</v>
      </c>
      <c r="E16" s="95">
        <f>'DOE25'!H17</f>
        <v>825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462185.65</v>
      </c>
      <c r="D18" s="41">
        <f>SUM(D8:D17)</f>
        <v>80659.09</v>
      </c>
      <c r="E18" s="41">
        <f>SUM(E8:E17)</f>
        <v>188766</v>
      </c>
      <c r="F18" s="41">
        <f>SUM(F8:F17)</f>
        <v>0</v>
      </c>
      <c r="G18" s="41">
        <f>SUM(G8:G17)</f>
        <v>461575.13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62491.99</v>
      </c>
      <c r="D21" s="95">
        <f>'DOE25'!G22</f>
        <v>0</v>
      </c>
      <c r="E21" s="95">
        <f>'DOE25'!H22</f>
        <v>150993.44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64326.84</v>
      </c>
      <c r="D22" s="95">
        <f>'DOE25'!G23</f>
        <v>63489.67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4792.17</v>
      </c>
      <c r="E23" s="95">
        <f>'DOE25'!H24</f>
        <v>34451.5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14213.08</v>
      </c>
      <c r="D27" s="95">
        <f>'DOE25'!G28</f>
        <v>0</v>
      </c>
      <c r="E27" s="95">
        <f>'DOE25'!H28</f>
        <v>1971.3899999999999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8334.64</v>
      </c>
      <c r="E29" s="95">
        <f>'DOE25'!H30</f>
        <v>1349.67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141031.90999999997</v>
      </c>
      <c r="D31" s="41">
        <f>SUM(D21:D30)</f>
        <v>76616.479999999996</v>
      </c>
      <c r="E31" s="41">
        <f>SUM(E21:E30)</f>
        <v>188766.00000000003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13404.87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12462.13</v>
      </c>
      <c r="D35" s="95">
        <f>'DOE25'!G36</f>
        <v>0</v>
      </c>
      <c r="E35" s="95">
        <f>'DOE25'!H36</f>
        <v>825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461575.13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-9362.26</v>
      </c>
      <c r="E48" s="95">
        <f>'DOE25'!H49</f>
        <v>-825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308691.61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321153.74</v>
      </c>
      <c r="D50" s="41">
        <f>SUM(D34:D49)</f>
        <v>4042.6100000000006</v>
      </c>
      <c r="E50" s="41">
        <f>SUM(E34:E49)</f>
        <v>0</v>
      </c>
      <c r="F50" s="41">
        <f>SUM(F34:F49)</f>
        <v>0</v>
      </c>
      <c r="G50" s="41">
        <f>SUM(G34:G49)</f>
        <v>461575.13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462185.64999999997</v>
      </c>
      <c r="D51" s="41">
        <f>D50+D31</f>
        <v>80659.09</v>
      </c>
      <c r="E51" s="41">
        <f>E50+E31</f>
        <v>188766.00000000003</v>
      </c>
      <c r="F51" s="41">
        <f>F50+F31</f>
        <v>0</v>
      </c>
      <c r="G51" s="41">
        <f>G50+G31</f>
        <v>461575.13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6107370.6100000003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1221115.7999999998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764.65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227.44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10547.22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112459.66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199892.3</v>
      </c>
      <c r="D61" s="95">
        <f>SUM('DOE25'!G98:G110)</f>
        <v>0</v>
      </c>
      <c r="E61" s="95">
        <f>SUM('DOE25'!H98:H110)</f>
        <v>15396.33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1422000.1899999997</v>
      </c>
      <c r="D62" s="130">
        <f>SUM(D57:D61)</f>
        <v>112459.66</v>
      </c>
      <c r="E62" s="130">
        <f>SUM(E57:E61)</f>
        <v>15396.33</v>
      </c>
      <c r="F62" s="130">
        <f>SUM(F57:F61)</f>
        <v>0</v>
      </c>
      <c r="G62" s="130">
        <f>SUM(G57:G61)</f>
        <v>10547.22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7529370.7999999998</v>
      </c>
      <c r="D63" s="22">
        <f>D56+D62</f>
        <v>112459.66</v>
      </c>
      <c r="E63" s="22">
        <f>E56+E62</f>
        <v>15396.33</v>
      </c>
      <c r="F63" s="22">
        <f>F56+F62</f>
        <v>0</v>
      </c>
      <c r="G63" s="22">
        <f>G56+G62</f>
        <v>10547.22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6486938.75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1020385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7507323.75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339729.58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261385.43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54326.15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5327.61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655441.16</v>
      </c>
      <c r="D78" s="130">
        <f>SUM(D72:D77)</f>
        <v>5327.61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8162764.9100000001</v>
      </c>
      <c r="D81" s="130">
        <f>SUM(D79:D80)+D78+D70</f>
        <v>5327.61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89723.4</v>
      </c>
      <c r="D88" s="95">
        <f>SUM('DOE25'!G153:G161)</f>
        <v>277090.93</v>
      </c>
      <c r="E88" s="95">
        <f>SUM('DOE25'!H153:H161)</f>
        <v>1138705.57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54143.55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143866.95000000001</v>
      </c>
      <c r="D91" s="131">
        <f>SUM(D85:D90)</f>
        <v>277090.93</v>
      </c>
      <c r="E91" s="131">
        <f>SUM(E85:E90)</f>
        <v>1138705.57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4255.3100000000004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546639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546639</v>
      </c>
      <c r="D103" s="86">
        <f>SUM(D93:D102)</f>
        <v>4255.3100000000004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16382641.66</v>
      </c>
      <c r="D104" s="86">
        <f>D63+D81+D91+D103</f>
        <v>399133.51</v>
      </c>
      <c r="E104" s="86">
        <f>E63+E81+E91+E103</f>
        <v>1154101.9000000001</v>
      </c>
      <c r="F104" s="86">
        <f>F63+F81+F91+F103</f>
        <v>0</v>
      </c>
      <c r="G104" s="86">
        <f>G63+G81+G103</f>
        <v>20547.22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4969010.959999999</v>
      </c>
      <c r="D109" s="24" t="s">
        <v>289</v>
      </c>
      <c r="E109" s="95">
        <f>('DOE25'!L276)+('DOE25'!L295)+('DOE25'!L314)</f>
        <v>656884.53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3198236.55</v>
      </c>
      <c r="D110" s="24" t="s">
        <v>289</v>
      </c>
      <c r="E110" s="95">
        <f>('DOE25'!L277)+('DOE25'!L296)+('DOE25'!L315)</f>
        <v>254002.59999999998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622311.71000000008</v>
      </c>
      <c r="D111" s="24" t="s">
        <v>289</v>
      </c>
      <c r="E111" s="95">
        <f>('DOE25'!L278)+('DOE25'!L297)+('DOE25'!L316)</f>
        <v>13450.43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338132.34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6000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9127691.5599999987</v>
      </c>
      <c r="D115" s="86">
        <f>SUM(D109:D114)</f>
        <v>0</v>
      </c>
      <c r="E115" s="86">
        <f>SUM(E109:E114)</f>
        <v>930337.56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1666626.1600000001</v>
      </c>
      <c r="D118" s="24" t="s">
        <v>289</v>
      </c>
      <c r="E118" s="95">
        <f>+('DOE25'!L281)+('DOE25'!L300)+('DOE25'!L319)</f>
        <v>13154.550000000001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701178.35</v>
      </c>
      <c r="D119" s="24" t="s">
        <v>289</v>
      </c>
      <c r="E119" s="95">
        <f>+('DOE25'!L282)+('DOE25'!L301)+('DOE25'!L320)</f>
        <v>139102.91999999998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919983.57000000007</v>
      </c>
      <c r="D120" s="24" t="s">
        <v>289</v>
      </c>
      <c r="E120" s="95">
        <f>+('DOE25'!L283)+('DOE25'!L302)+('DOE25'!L321)</f>
        <v>17306.869999999995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859190.59000000008</v>
      </c>
      <c r="D121" s="24" t="s">
        <v>289</v>
      </c>
      <c r="E121" s="95">
        <f>+('DOE25'!L284)+('DOE25'!L303)+('DOE25'!L322)</f>
        <v>350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1421558.69</v>
      </c>
      <c r="D123" s="24" t="s">
        <v>289</v>
      </c>
      <c r="E123" s="95">
        <f>+('DOE25'!L286)+('DOE25'!L305)+('DOE25'!L324)</f>
        <v>50000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697570.30999999994</v>
      </c>
      <c r="D124" s="24" t="s">
        <v>289</v>
      </c>
      <c r="E124" s="95">
        <f>+('DOE25'!L287)+('DOE25'!L306)+('DOE25'!L325)</f>
        <v>3850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399133.51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6266107.669999999</v>
      </c>
      <c r="D128" s="86">
        <f>SUM(D118:D127)</f>
        <v>399133.51</v>
      </c>
      <c r="E128" s="86">
        <f>SUM(E118:E127)</f>
        <v>223764.33999999997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330237.5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546639</v>
      </c>
    </row>
    <row r="135" spans="1:7" x14ac:dyDescent="0.2">
      <c r="A135" t="s">
        <v>233</v>
      </c>
      <c r="B135" s="32" t="s">
        <v>234</v>
      </c>
      <c r="C135" s="95">
        <f>'DOE25'!L263</f>
        <v>4255.3099999999995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20547.22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-10547.220000000001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854492.81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546639</v>
      </c>
    </row>
    <row r="145" spans="1:9" ht="12.75" thickTop="1" thickBot="1" x14ac:dyDescent="0.25">
      <c r="A145" s="33" t="s">
        <v>244</v>
      </c>
      <c r="C145" s="86">
        <f>(C115+C128+C144)</f>
        <v>16248292.039999997</v>
      </c>
      <c r="D145" s="86">
        <f>(D115+D128+D144)</f>
        <v>399133.51</v>
      </c>
      <c r="E145" s="86">
        <f>(E115+E128+E144)</f>
        <v>1154101.8999999999</v>
      </c>
      <c r="F145" s="86">
        <f>(F115+F128+F144)</f>
        <v>0</v>
      </c>
      <c r="G145" s="86">
        <f>(G115+G128+G144)</f>
        <v>546639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8/15/2007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08/15/2027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10156100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510000</v>
      </c>
    </row>
    <row r="159" spans="1:9" x14ac:dyDescent="0.2">
      <c r="A159" s="22" t="s">
        <v>35</v>
      </c>
      <c r="B159" s="137">
        <f>'DOE25'!F498</f>
        <v>6590000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6590000</v>
      </c>
    </row>
    <row r="160" spans="1:9" x14ac:dyDescent="0.2">
      <c r="A160" s="22" t="s">
        <v>36</v>
      </c>
      <c r="B160" s="137">
        <f>'DOE25'!F499</f>
        <v>1447602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1447602</v>
      </c>
    </row>
    <row r="161" spans="1:7" x14ac:dyDescent="0.2">
      <c r="A161" s="22" t="s">
        <v>37</v>
      </c>
      <c r="B161" s="137">
        <f>'DOE25'!F500</f>
        <v>8037602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8037602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306650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306650</v>
      </c>
    </row>
    <row r="164" spans="1:7" x14ac:dyDescent="0.2">
      <c r="A164" s="22" t="s">
        <v>246</v>
      </c>
      <c r="B164" s="137">
        <f>'DOE25'!F503</f>
        <v>816650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816650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Newport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14835</v>
      </c>
    </row>
    <row r="5" spans="1:4" x14ac:dyDescent="0.2">
      <c r="B5" t="s">
        <v>704</v>
      </c>
      <c r="C5" s="179">
        <f>IF('DOE25'!G665+'DOE25'!G670=0,0,ROUND('DOE25'!G672,0))</f>
        <v>14171</v>
      </c>
    </row>
    <row r="6" spans="1:4" x14ac:dyDescent="0.2">
      <c r="B6" t="s">
        <v>62</v>
      </c>
      <c r="C6" s="179">
        <f>IF('DOE25'!H665+'DOE25'!H670=0,0,ROUND('DOE25'!H672,0))</f>
        <v>16981</v>
      </c>
    </row>
    <row r="7" spans="1:4" x14ac:dyDescent="0.2">
      <c r="B7" t="s">
        <v>705</v>
      </c>
      <c r="C7" s="179">
        <f>IF('DOE25'!I665+'DOE25'!I670=0,0,ROUND('DOE25'!I672,0))</f>
        <v>15526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5625895</v>
      </c>
      <c r="D10" s="182">
        <f>ROUND((C10/$C$28)*100,1)</f>
        <v>32.799999999999997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3452239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635762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338132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1679781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840281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937290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859541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1471559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701420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6000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330238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286674.33999999997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17164812.34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17164812.34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6107371</v>
      </c>
      <c r="D35" s="182">
        <f t="shared" ref="D35:D40" si="1">ROUND((C35/$C$41)*100,1)</f>
        <v>35.299999999999997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1447943.3500000006</v>
      </c>
      <c r="D36" s="182">
        <f t="shared" si="1"/>
        <v>8.4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7507324</v>
      </c>
      <c r="D37" s="182">
        <f t="shared" si="1"/>
        <v>43.4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660769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1559663</v>
      </c>
      <c r="D39" s="182">
        <f t="shared" si="1"/>
        <v>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17283070.350000001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Newport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2015-10-07T17:18:37Z</cp:lastPrinted>
  <dcterms:created xsi:type="dcterms:W3CDTF">1997-12-04T19:04:30Z</dcterms:created>
  <dcterms:modified xsi:type="dcterms:W3CDTF">2015-11-30T13:45:37Z</dcterms:modified>
</cp:coreProperties>
</file>