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45" yWindow="-30" windowWidth="20985" windowHeight="1134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F367" i="1"/>
  <c r="I358" i="1"/>
  <c r="G197" i="1"/>
  <c r="F472" i="1"/>
  <c r="K531" i="1"/>
  <c r="J521" i="1"/>
  <c r="I521" i="1"/>
  <c r="G521" i="1"/>
  <c r="F521" i="1"/>
  <c r="G526" i="1"/>
  <c r="F29" i="1"/>
  <c r="H604" i="1"/>
  <c r="H255" i="1"/>
  <c r="I200" i="1"/>
  <c r="I197" i="1"/>
  <c r="H207" i="1"/>
  <c r="I472" i="1"/>
  <c r="H379" i="1"/>
  <c r="F9" i="1" l="1"/>
  <c r="B10" i="12" l="1"/>
  <c r="C19" i="12"/>
  <c r="C37" i="12"/>
  <c r="B19" i="12"/>
  <c r="G279" i="1"/>
  <c r="G276" i="1"/>
  <c r="I276" i="1"/>
  <c r="F276" i="1"/>
  <c r="C21" i="12"/>
  <c r="K209" i="1"/>
  <c r="G203" i="1"/>
  <c r="H396" i="1"/>
  <c r="H521" i="1"/>
  <c r="F526" i="1"/>
  <c r="H159" i="1"/>
  <c r="H155" i="1"/>
  <c r="H154" i="1"/>
  <c r="F110" i="1"/>
  <c r="F368" i="1"/>
  <c r="F358" i="1"/>
  <c r="B21" i="12" l="1"/>
  <c r="B20" i="12"/>
  <c r="J203" i="1"/>
  <c r="I202" i="1"/>
  <c r="I203" i="1"/>
  <c r="H208" i="1"/>
  <c r="H204" i="1"/>
  <c r="H203" i="1"/>
  <c r="F203" i="1"/>
  <c r="F20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E13" i="13" s="1"/>
  <c r="C13" i="13" s="1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A31" i="12"/>
  <c r="C70" i="2"/>
  <c r="A40" i="12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C16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H33" i="13"/>
  <c r="D14" i="13" l="1"/>
  <c r="C14" i="13" s="1"/>
  <c r="J644" i="1"/>
  <c r="C62" i="2"/>
  <c r="C63" i="2" s="1"/>
  <c r="I661" i="1"/>
  <c r="C128" i="2"/>
  <c r="F660" i="1"/>
  <c r="F664" i="1" s="1"/>
  <c r="F672" i="1" s="1"/>
  <c r="C4" i="10" s="1"/>
  <c r="L257" i="1"/>
  <c r="L271" i="1" s="1"/>
  <c r="G632" i="1" s="1"/>
  <c r="J632" i="1" s="1"/>
  <c r="E33" i="13"/>
  <c r="D3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I660" i="1" l="1"/>
  <c r="C145" i="2"/>
  <c r="F667" i="1"/>
  <c r="D31" i="13"/>
  <c r="C31" i="13" s="1"/>
  <c r="C104" i="2"/>
  <c r="G672" i="1"/>
  <c r="C5" i="10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<sst xmlns="http://schemas.openxmlformats.org/spreadsheetml/2006/main" count="3957" uniqueCount="915">
  <si>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</si>
  <si>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</si>
  <si>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</si>
  <si>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</si>
  <si>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</si>
  <si>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</si>
  <si>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</si>
  <si>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</si>
  <si>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</si>
  <si>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</si>
  <si>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</si>
  <si>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</si>
  <si>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</si>
  <si>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</si>
  <si>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</si>
  <si>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</si>
  <si>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</si>
  <si>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</si>
  <si>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</si>
  <si>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</si>
  <si>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</si>
  <si>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</si>
  <si>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</si>
  <si>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</si>
  <si>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</si>
  <si>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</si>
  <si>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</si>
  <si>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</si>
  <si>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</si>
  <si>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</si>
  <si>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</si>
  <si>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</si>
  <si>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</si>
  <si>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</si>
  <si>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</si>
  <si>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</si>
  <si>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</si>
  <si>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</si>
  <si>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</si>
  <si>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</si>
  <si>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</si>
  <si>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</si>
  <si>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</si>
  <si>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</si>
  <si>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</si>
  <si>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</si>
  <si>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</si>
  <si>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</si>
  <si>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</si>
  <si>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</si>
  <si>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</si>
  <si>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</si>
  <si>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</si>
  <si>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</si>
  <si>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</si>
  <si>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</si>
  <si>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</si>
  <si>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</si>
  <si>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</si>
  <si>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</si>
  <si>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</si>
  <si>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</si>
  <si>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</si>
  <si>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</si>
  <si>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</si>
  <si>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</si>
  <si>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</si>
  <si>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</si>
  <si>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</si>
  <si>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</si>
  <si>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</si>
  <si>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</si>
  <si>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</si>
  <si>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</si>
  <si>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</si>
  <si>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</si>
  <si>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</si>
  <si>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</si>
  <si>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</si>
  <si>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</si>
  <si>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</si>
  <si>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</si>
  <si>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</si>
  <si>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</si>
  <si>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</si>
  <si>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</si>
  <si>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</si>
  <si>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</si>
  <si>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</si>
  <si>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</si>
  <si>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</si>
  <si>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</si>
  <si>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</si>
  <si>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</si>
  <si>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</si>
  <si>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</si>
  <si>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</si>
  <si>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</si>
  <si>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</si>
  <si>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</si>
  <si>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</si>
  <si>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</si>
  <si>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</si>
  <si>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</si>
  <si>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</si>
  <si>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</si>
  <si>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</si>
  <si>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</si>
  <si>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</si>
  <si>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</si>
  <si>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</si>
  <si>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</si>
  <si>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</si>
  <si>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</si>
  <si>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</si>
  <si>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</si>
  <si>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</si>
  <si>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</si>
  <si>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</si>
  <si>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</si>
  <si>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</si>
  <si>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</si>
  <si>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</si>
  <si>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</si>
  <si>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</si>
  <si>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</si>
  <si>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</si>
  <si>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</si>
  <si>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</si>
  <si>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</si>
  <si>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</si>
  <si>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</si>
  <si>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</si>
  <si>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</si>
  <si>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</si>
  <si>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</si>
  <si>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</si>
  <si>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</si>
  <si>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</si>
  <si>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</si>
  <si>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</si>
  <si>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</si>
  <si>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</si>
  <si>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</si>
  <si>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</si>
  <si>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</si>
  <si>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</si>
  <si>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</si>
  <si>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</si>
  <si>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</si>
  <si>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</si>
  <si>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</si>
  <si>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</si>
  <si>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</si>
  <si>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</si>
  <si>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</si>
  <si>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</si>
  <si>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</si>
  <si>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</si>
  <si>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</si>
  <si>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</si>
  <si>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</si>
  <si>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</si>
  <si>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</si>
  <si>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</si>
  <si>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</si>
  <si>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</si>
  <si>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</si>
  <si>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</si>
  <si>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</si>
  <si>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</si>
  <si>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</si>
  <si>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</si>
  <si>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</si>
  <si>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</si>
  <si>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</si>
  <si>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</si>
  <si>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</si>
  <si>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</si>
  <si>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</si>
  <si>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</si>
  <si>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</si>
  <si>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</si>
  <si>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</si>
  <si>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</si>
  <si>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</si>
  <si>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</si>
  <si>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</si>
  <si>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</si>
  <si>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</si>
  <si>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</si>
  <si>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</si>
  <si>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</si>
  <si>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</si>
  <si>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</si>
  <si>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</si>
  <si>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</si>
  <si>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</si>
  <si>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</si>
  <si>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</si>
  <si>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</si>
  <si>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</si>
  <si>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</si>
  <si>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</si>
  <si>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</si>
  <si>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</si>
  <si>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</si>
  <si>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</si>
  <si>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</si>
  <si>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</si>
  <si>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</si>
  <si>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</si>
  <si>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</si>
  <si>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</si>
  <si>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</si>
  <si>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</si>
  <si>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</si>
  <si>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</si>
  <si>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</si>
  <si>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</si>
  <si>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</si>
  <si>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</si>
  <si>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</si>
  <si>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</si>
  <si>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</si>
  <si>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</si>
  <si>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</si>
  <si>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</si>
  <si>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</si>
  <si>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</si>
  <si>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</si>
  <si>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</si>
  <si>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</si>
  <si>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</si>
  <si>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</si>
  <si>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</si>
  <si>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</si>
  <si>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</si>
  <si>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</si>
  <si>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</si>
  <si>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</si>
  <si>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</si>
  <si>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</si>
  <si>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</si>
  <si>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</si>
  <si>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</si>
  <si>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</si>
  <si>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</si>
  <si>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</si>
  <si>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</si>
  <si>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</si>
  <si>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</si>
  <si>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</si>
  <si>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</si>
  <si>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</si>
  <si>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</si>
  <si>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</si>
  <si>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</si>
  <si>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</si>
  <si>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</si>
  <si>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</si>
  <si>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</si>
  <si>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</si>
  <si>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</si>
  <si>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</si>
  <si>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</si>
  <si>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</si>
  <si>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</si>
  <si>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</si>
  <si>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</si>
  <si>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</si>
  <si>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</si>
  <si>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</si>
  <si>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</si>
  <si>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</si>
  <si>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</si>
  <si>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</si>
  <si>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</si>
  <si>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</si>
  <si>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</si>
  <si>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</si>
  <si>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</si>
  <si>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</si>
  <si>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</si>
  <si>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</si>
  <si>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</si>
  <si>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</si>
  <si>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</si>
  <si>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</si>
  <si>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</si>
  <si>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</si>
  <si>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</si>
  <si>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</si>
  <si>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</si>
  <si>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</si>
  <si>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</si>
  <si>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</si>
  <si>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</si>
  <si>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</si>
  <si>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</si>
  <si>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</si>
  <si>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</si>
  <si>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</si>
  <si>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</si>
  <si>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</si>
  <si>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</si>
  <si>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</si>
  <si>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</si>
  <si>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</si>
  <si>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</si>
  <si>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</si>
  <si>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</si>
  <si>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</si>
  <si>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</si>
  <si>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</si>
  <si>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</si>
  <si>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</si>
  <si>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</si>
  <si>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</si>
  <si>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</si>
  <si>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</si>
  <si>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</si>
  <si>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</si>
  <si>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</si>
  <si>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</si>
  <si>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</si>
  <si>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</si>
  <si>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</si>
  <si>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</si>
  <si>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</si>
  <si>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</si>
  <si>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</si>
  <si>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</si>
  <si>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</si>
  <si>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</si>
  <si>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</si>
  <si>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</si>
  <si>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</si>
  <si>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</si>
  <si>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</si>
  <si>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</si>
  <si>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</si>
  <si>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</si>
  <si>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</si>
  <si>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</si>
  <si>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</si>
  <si>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</si>
  <si>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</si>
  <si>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</si>
  <si>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</si>
  <si>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</si>
  <si>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</si>
  <si>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</si>
  <si>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</si>
  <si>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</si>
  <si>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</si>
  <si>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</si>
  <si>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</si>
  <si>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</si>
  <si>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</si>
  <si>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</si>
  <si>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</si>
  <si>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</si>
  <si>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</si>
  <si>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</si>
  <si>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</si>
  <si>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</si>
  <si>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</si>
  <si>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</si>
  <si>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</si>
  <si>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</si>
  <si>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</si>
  <si>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</si>
  <si>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</si>
  <si>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</si>
  <si>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</si>
  <si>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</si>
  <si>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</si>
  <si>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</si>
  <si>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</si>
  <si>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</si>
  <si>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</si>
  <si>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</si>
  <si>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</si>
  <si>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</si>
  <si>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</si>
  <si>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</si>
  <si>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</si>
  <si>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</si>
  <si>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</si>
  <si>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</si>
  <si>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</si>
  <si>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</si>
  <si>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</si>
  <si>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</si>
  <si>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</si>
  <si>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</si>
  <si>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</si>
  <si>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</si>
  <si>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</si>
  <si>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</si>
  <si>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</si>
  <si>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</si>
  <si>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</si>
  <si>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</si>
  <si>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</si>
  <si>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</si>
  <si>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</si>
  <si>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</si>
  <si>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</si>
  <si>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</si>
  <si>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</si>
  <si>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</si>
  <si>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</si>
  <si>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</si>
  <si>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</si>
  <si>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</si>
  <si>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</si>
  <si>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</si>
  <si>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</si>
  <si>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</si>
  <si>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</si>
  <si>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</si>
  <si>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</si>
  <si>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</si>
  <si>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</si>
  <si>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</si>
  <si>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</si>
  <si>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</si>
  <si>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</si>
  <si>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</si>
  <si>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</si>
  <si>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</si>
  <si>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</si>
  <si>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</si>
  <si>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</si>
  <si>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</si>
  <si>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</si>
  <si>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</si>
  <si>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</si>
  <si>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</si>
  <si>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</si>
  <si>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</si>
  <si>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</si>
  <si>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</si>
  <si>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</si>
  <si>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</si>
  <si>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</si>
  <si>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</si>
  <si>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</si>
  <si>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</si>
  <si>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</si>
  <si>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</si>
  <si>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</si>
  <si>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</si>
  <si>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</si>
  <si>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</si>
  <si>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</si>
  <si>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</si>
  <si>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</si>
  <si>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</si>
  <si>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</si>
  <si>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</si>
  <si>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</si>
  <si>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</si>
  <si>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</si>
  <si>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</si>
  <si>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</si>
  <si>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</si>
  <si>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</si>
  <si>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</si>
  <si>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</si>
  <si>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</si>
  <si>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</si>
  <si>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</si>
  <si>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</si>
  <si>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</si>
  <si>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</si>
  <si>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</si>
  <si>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</si>
  <si>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</si>
  <si>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</si>
  <si>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</si>
  <si>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</si>
  <si>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</si>
  <si>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</si>
  <si>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</si>
  <si>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</si>
  <si>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</si>
  <si>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</si>
  <si>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</si>
  <si>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</si>
  <si>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</si>
  <si>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</si>
  <si>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</si>
  <si>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</si>
  <si>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</si>
  <si>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</si>
  <si>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</si>
  <si>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</si>
  <si>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</si>
  <si>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</si>
  <si>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</si>
  <si>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</si>
  <si>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</si>
  <si>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</si>
  <si>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</si>
  <si>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</si>
  <si>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</si>
  <si>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</si>
  <si>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</si>
  <si>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</si>
  <si>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</si>
  <si>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</si>
  <si>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</si>
  <si>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</si>
  <si>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</si>
  <si>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</si>
  <si>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</si>
  <si>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</si>
  <si>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</si>
  <si>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</si>
  <si>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</si>
  <si>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</si>
  <si>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</si>
  <si>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</si>
  <si>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</si>
  <si>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</si>
  <si>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</si>
  <si>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</si>
  <si>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</si>
  <si>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</si>
  <si>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</si>
  <si>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</si>
  <si>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</si>
  <si>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</si>
  <si>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</si>
  <si>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</si>
  <si>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</si>
  <si>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</si>
  <si>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</si>
  <si>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</si>
  <si>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</si>
  <si>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</si>
  <si>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</si>
  <si>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</si>
  <si>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</si>
  <si>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</si>
  <si>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</si>
  <si>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</si>
  <si>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</si>
  <si>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</si>
  <si>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</si>
  <si>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</si>
  <si>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</si>
  <si>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</si>
  <si>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</si>
  <si>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</si>
  <si>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</si>
  <si>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</si>
  <si>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</si>
  <si>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</si>
  <si>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</si>
  <si>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</si>
  <si>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</si>
  <si>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</si>
  <si>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</si>
  <si>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</si>
  <si>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</si>
  <si>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</si>
  <si>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</si>
  <si>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</si>
  <si>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</si>
  <si>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</si>
  <si>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</si>
  <si>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</si>
  <si>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</si>
  <si>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</si>
  <si>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</si>
  <si>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</si>
  <si>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</si>
  <si>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</si>
  <si>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</si>
  <si>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</si>
  <si>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</si>
  <si>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</si>
  <si>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</si>
  <si>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</si>
  <si>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</si>
  <si>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</si>
  <si>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</si>
  <si>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</si>
  <si>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</si>
  <si>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</si>
  <si>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</si>
  <si>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</si>
  <si>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</si>
  <si>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</si>
  <si>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</si>
  <si>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</si>
  <si>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</si>
  <si>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</si>
  <si>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</si>
  <si>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</si>
  <si>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</si>
  <si>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</si>
  <si>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</si>
  <si>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</si>
  <si>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</si>
  <si>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</si>
  <si>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</si>
  <si>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</si>
  <si>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</si>
  <si>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</si>
  <si>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</si>
  <si>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</si>
  <si>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</si>
  <si>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</si>
  <si>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</si>
  <si>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</si>
  <si>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</si>
  <si>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</si>
  <si>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</si>
  <si>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</si>
  <si>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</si>
  <si>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</si>
  <si>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</si>
  <si>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</si>
  <si>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</si>
  <si>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</si>
  <si>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</si>
  <si>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</si>
  <si>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</si>
  <si>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</si>
  <si>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</si>
  <si>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</si>
  <si>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</si>
  <si>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</si>
  <si>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</si>
  <si>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</si>
  <si>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</si>
  <si>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</si>
  <si>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</si>
  <si>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</si>
  <si>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</si>
  <si>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</si>
  <si>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</si>
  <si>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</si>
  <si>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</si>
  <si>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</si>
  <si>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</si>
  <si>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</si>
  <si>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</si>
  <si>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</si>
  <si>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</si>
  <si>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</si>
  <si>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</si>
  <si>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</si>
  <si>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</si>
  <si>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</si>
  <si>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</si>
  <si>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</si>
  <si>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</si>
  <si>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</si>
  <si>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</si>
  <si>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</si>
  <si>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</si>
  <si>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</si>
  <si>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</si>
  <si>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</si>
  <si>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</si>
  <si>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</si>
  <si>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</si>
  <si>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</si>
  <si>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</si>
  <si>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</si>
  <si>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</si>
  <si>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</si>
  <si>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</si>
  <si>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</si>
  <si>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</si>
  <si>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</si>
  <si>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</si>
  <si>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</si>
  <si>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</si>
  <si>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</si>
  <si>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</si>
  <si>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</si>
  <si>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</si>
  <si>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</si>
  <si>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</si>
  <si>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</si>
  <si>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</si>
  <si>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</si>
  <si>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</si>
  <si>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</si>
  <si>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</si>
  <si>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</si>
  <si>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</si>
  <si>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</si>
  <si>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</si>
  <si>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</si>
  <si>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</si>
  <si>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</si>
  <si>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</si>
  <si>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</si>
  <si>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</si>
  <si>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</si>
  <si>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</si>
  <si>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</si>
  <si>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</si>
  <si>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</si>
  <si>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</si>
  <si>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</si>
  <si>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</si>
  <si>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</si>
  <si>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</si>
  <si>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</si>
  <si>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</si>
  <si>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</si>
  <si>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</si>
  <si>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</si>
  <si>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</si>
  <si>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</si>
  <si>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</si>
  <si>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</si>
  <si>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</si>
  <si>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</si>
  <si>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</si>
  <si>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</si>
  <si>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</si>
  <si>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</si>
  <si>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</si>
  <si>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</si>
  <si>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</si>
  <si>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</si>
  <si>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</si>
  <si>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</si>
  <si>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</si>
  <si>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</si>
  <si>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</si>
  <si>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</si>
  <si>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</si>
  <si>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</si>
  <si>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</si>
  <si>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</si>
  <si>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</si>
  <si>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</si>
  <si>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</si>
  <si>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</si>
  <si>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</si>
  <si>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</si>
  <si>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</si>
  <si>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</si>
  <si>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</si>
  <si>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</si>
  <si>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</si>
  <si>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</si>
  <si>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</si>
  <si>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</si>
  <si>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</si>
  <si>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</si>
  <si>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</si>
  <si>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</si>
  <si>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</si>
  <si>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</si>
  <si>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</si>
  <si>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</si>
  <si>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</si>
  <si>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</si>
  <si>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</si>
  <si>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</si>
  <si>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</si>
  <si>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</si>
  <si>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</si>
  <si>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</si>
  <si>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</si>
  <si>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</si>
  <si>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</si>
  <si>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</si>
  <si>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</si>
  <si>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</si>
  <si>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</si>
  <si>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</si>
  <si>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</si>
  <si>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</si>
  <si>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</si>
  <si>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</si>
  <si>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</si>
  <si>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</si>
  <si>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</si>
  <si>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</si>
  <si>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</si>
  <si>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</si>
  <si>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</si>
  <si>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</si>
  <si>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</si>
  <si>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</si>
  <si>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</si>
  <si>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</si>
  <si>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</si>
  <si>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</si>
  <si>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</si>
  <si>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</si>
  <si>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</si>
  <si>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</si>
  <si>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</si>
  <si>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</si>
  <si>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</si>
  <si>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</si>
  <si>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</si>
  <si>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</si>
  <si>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</si>
  <si>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</si>
  <si>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</si>
  <si>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</si>
  <si>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</si>
  <si>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</si>
  <si>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</si>
  <si>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</si>
  <si>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</si>
  <si>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</si>
  <si>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</si>
  <si>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</si>
  <si>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</si>
  <si>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</si>
  <si>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</si>
  <si>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</si>
  <si>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</si>
  <si>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</si>
  <si>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</si>
  <si>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</si>
  <si>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</si>
  <si>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</si>
  <si>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</si>
  <si>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</si>
  <si>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</si>
  <si>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</si>
  <si>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</si>
  <si>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</si>
  <si>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</si>
  <si>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</si>
  <si>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</si>
  <si>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</si>
  <si>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</si>
  <si>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</si>
  <si>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</si>
  <si>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</si>
  <si>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</si>
  <si>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</si>
  <si>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</si>
  <si>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</si>
  <si>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</si>
  <si>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</si>
  <si>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</si>
  <si>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</si>
  <si>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</si>
  <si>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</si>
  <si>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</si>
  <si>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</si>
  <si>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</si>
  <si>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</si>
  <si>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</si>
  <si>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</si>
  <si>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</si>
  <si>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</si>
  <si>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</si>
  <si>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</si>
  <si>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</si>
  <si>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</si>
  <si>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</si>
  <si>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</si>
  <si>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</si>
  <si>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</si>
  <si>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</si>
  <si>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</si>
  <si>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</si>
  <si>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</si>
  <si>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</si>
  <si>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</si>
  <si>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</si>
  <si>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</si>
  <si>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</si>
  <si>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</si>
  <si>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</si>
  <si>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</si>
  <si>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</si>
  <si>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</si>
  <si>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</si>
  <si>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</si>
  <si>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</si>
  <si>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</si>
  <si>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</si>
  <si>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</si>
  <si>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</si>
  <si>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</si>
  <si>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</si>
  <si>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</si>
  <si>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</si>
  <si>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</si>
  <si>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</si>
  <si>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</si>
  <si>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</si>
  <si>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</si>
  <si>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</si>
  <si>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</si>
  <si>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</si>
  <si>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</si>
  <si>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</si>
  <si>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</si>
  <si>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</si>
  <si>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NORTH HAMPTON</t>
  </si>
  <si>
    <t>LGC REFUND = $80,441.12</t>
  </si>
  <si>
    <t>August 2013</t>
  </si>
  <si>
    <t>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</si>
</sst>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185" activePane="bottomRight" state="frozen"/>
      <selection pane="topRight" activeCell="F1" sqref="F1"/>
      <selection pane="bottomLeft" activeCell="A4" sqref="A4"/>
      <selection pane="bottomRight" activeCell="I206" sqref="I206:J20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21</v>
      </c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184325.86+133.61</f>
        <v>184459.46999999997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302462.68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61156.12</v>
      </c>
      <c r="G12" s="18">
        <v>2216.6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26279.27</v>
      </c>
      <c r="G13" s="18">
        <v>2271.65</v>
      </c>
      <c r="H13" s="18">
        <v>15035.72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6608.79</v>
      </c>
      <c r="G14" s="18">
        <v>61.95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5198.3999999999996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278503.64999999997</v>
      </c>
      <c r="G19" s="41">
        <f>SUM(G9:G18)</f>
        <v>9748.5999999999985</v>
      </c>
      <c r="H19" s="41">
        <f>SUM(H9:H18)</f>
        <v>15035.72</v>
      </c>
      <c r="I19" s="41">
        <f>SUM(I9:I18)</f>
        <v>0</v>
      </c>
      <c r="J19" s="41">
        <f>SUM(J9:J18)</f>
        <v>302462.68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15035.72</v>
      </c>
      <c r="I22" s="18">
        <v>48337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19043.900000000001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14741.2</v>
      </c>
      <c r="G28" s="18">
        <v>657.03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4124.19+21109.07-0.73</f>
        <v>25232.53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3808.19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59017.630000000005</v>
      </c>
      <c r="G32" s="41">
        <f>SUM(G22:G31)</f>
        <v>4465.22</v>
      </c>
      <c r="H32" s="41">
        <f>SUM(H22:H31)</f>
        <v>15035.72</v>
      </c>
      <c r="I32" s="41">
        <f>SUM(I22:I31)</f>
        <v>48337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5198.3999999999996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84.98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27669.67</v>
      </c>
      <c r="G48" s="18"/>
      <c r="H48" s="18"/>
      <c r="I48" s="18">
        <v>-48337</v>
      </c>
      <c r="J48" s="13">
        <f>SUM(I459)</f>
        <v>302462.68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30302.65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61513.7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219486.02000000002</v>
      </c>
      <c r="G51" s="41">
        <f>SUM(G35:G50)</f>
        <v>5283.3799999999992</v>
      </c>
      <c r="H51" s="41">
        <f>SUM(H35:H50)</f>
        <v>0</v>
      </c>
      <c r="I51" s="41">
        <f>SUM(I35:I50)</f>
        <v>-48337</v>
      </c>
      <c r="J51" s="41">
        <f>SUM(J35:J50)</f>
        <v>302462.68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278503.65000000002</v>
      </c>
      <c r="G52" s="41">
        <f>G51+G32</f>
        <v>9748.5999999999985</v>
      </c>
      <c r="H52" s="41">
        <f>H51+H32</f>
        <v>15035.72</v>
      </c>
      <c r="I52" s="41">
        <f>I51+I32</f>
        <v>0</v>
      </c>
      <c r="J52" s="41">
        <f>J51+J32</f>
        <v>302462.68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5991851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5991851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18332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18332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82.1</v>
      </c>
      <c r="G96" s="18"/>
      <c r="H96" s="18"/>
      <c r="I96" s="18"/>
      <c r="J96" s="18">
        <v>409.51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117660.54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17088.48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11836.99+80441.12</f>
        <v>92278.11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109448.69</v>
      </c>
      <c r="G111" s="41">
        <f>SUM(G96:G110)</f>
        <v>117660.54</v>
      </c>
      <c r="H111" s="41">
        <f>SUM(H96:H110)</f>
        <v>0</v>
      </c>
      <c r="I111" s="41">
        <f>SUM(I96:I110)</f>
        <v>0</v>
      </c>
      <c r="J111" s="41">
        <f>SUM(J96:J110)</f>
        <v>409.51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6119631.6900000004</v>
      </c>
      <c r="G112" s="41">
        <f>G60+G111</f>
        <v>117660.54</v>
      </c>
      <c r="H112" s="41">
        <f>H60+H79+H94+H111</f>
        <v>0</v>
      </c>
      <c r="I112" s="41">
        <f>I60+I111</f>
        <v>0</v>
      </c>
      <c r="J112" s="41">
        <f>J60+J111</f>
        <v>409.51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174076.46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1850017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2024093.46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1976.13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1976.13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2024093.46</v>
      </c>
      <c r="G140" s="41">
        <f>G121+SUM(G136:G137)</f>
        <v>1976.13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6305.46+15174.12</f>
        <v>21479.58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19445.91-0.1</f>
        <v>19445.810000000001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32310.2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84318.9+3730.68+0.1</f>
        <v>88049.68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39750.550000000003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39750.550000000003</v>
      </c>
      <c r="G162" s="41">
        <f>SUM(G150:G161)</f>
        <v>32310.2</v>
      </c>
      <c r="H162" s="41">
        <f>SUM(H150:H161)</f>
        <v>128975.06999999999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11248.23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39750.550000000003</v>
      </c>
      <c r="G169" s="41">
        <f>G147+G162+SUM(G163:G168)</f>
        <v>43558.43</v>
      </c>
      <c r="H169" s="41">
        <f>H147+H162+SUM(H163:H168)</f>
        <v>128975.06999999999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8000</v>
      </c>
      <c r="H179" s="18"/>
      <c r="I179" s="18"/>
      <c r="J179" s="18">
        <v>140000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48741.440000000002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48741.440000000002</v>
      </c>
      <c r="G183" s="41">
        <f>SUM(G179:G182)</f>
        <v>8000</v>
      </c>
      <c r="H183" s="41">
        <f>SUM(H179:H182)</f>
        <v>0</v>
      </c>
      <c r="I183" s="41">
        <f>SUM(I179:I182)</f>
        <v>0</v>
      </c>
      <c r="J183" s="41">
        <f>SUM(J179:J182)</f>
        <v>140000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>
        <v>20300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20300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48741.440000000002</v>
      </c>
      <c r="G192" s="41">
        <f>G183+SUM(G188:G191)</f>
        <v>8000</v>
      </c>
      <c r="H192" s="41">
        <f>+H183+SUM(H188:H191)</f>
        <v>0</v>
      </c>
      <c r="I192" s="41">
        <f>I177+I183+SUM(I188:I191)</f>
        <v>20300</v>
      </c>
      <c r="J192" s="41">
        <f>J183</f>
        <v>140000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8232217.1400000006</v>
      </c>
      <c r="G193" s="47">
        <f>G112+G140+G169+G192</f>
        <v>171195.1</v>
      </c>
      <c r="H193" s="47">
        <f>H112+H140+H169+H192</f>
        <v>128975.06999999999</v>
      </c>
      <c r="I193" s="47">
        <f>I112+I140+I169+I192</f>
        <v>20300</v>
      </c>
      <c r="J193" s="47">
        <f>J112+J140+J192</f>
        <v>140409.51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2356809.91</v>
      </c>
      <c r="G197" s="18">
        <f>1019398.37-906.42-948.32-0.69</f>
        <v>1017542.9400000001</v>
      </c>
      <c r="H197" s="18">
        <v>18073.28</v>
      </c>
      <c r="I197" s="18">
        <f>57806.34+2690.88</f>
        <v>60497.219999999994</v>
      </c>
      <c r="J197" s="18">
        <v>2961.01</v>
      </c>
      <c r="K197" s="18"/>
      <c r="L197" s="19">
        <f>SUM(F197:K197)</f>
        <v>3455884.36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874158.37</v>
      </c>
      <c r="G198" s="18">
        <v>275224.42</v>
      </c>
      <c r="H198" s="18">
        <v>260181.22</v>
      </c>
      <c r="I198" s="18">
        <v>3525.65</v>
      </c>
      <c r="J198" s="18">
        <v>3028.68</v>
      </c>
      <c r="K198" s="18">
        <v>125</v>
      </c>
      <c r="L198" s="19">
        <f>SUM(F198:K198)</f>
        <v>1416243.3399999999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32189</v>
      </c>
      <c r="G200" s="18">
        <v>2462.46</v>
      </c>
      <c r="H200" s="18">
        <v>47441.26</v>
      </c>
      <c r="I200" s="18">
        <f>9804.55+235</f>
        <v>10039.549999999999</v>
      </c>
      <c r="J200" s="18">
        <v>1038.8399999999999</v>
      </c>
      <c r="K200" s="18">
        <v>4570.4799999999996</v>
      </c>
      <c r="L200" s="19">
        <f>SUM(F200:K200)</f>
        <v>97741.59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123053.02+48085+257254.76</f>
        <v>428392.78</v>
      </c>
      <c r="G202" s="18">
        <v>171725.85</v>
      </c>
      <c r="H202" s="18">
        <v>480</v>
      </c>
      <c r="I202" s="18">
        <f>2499.28+335.78</f>
        <v>2835.0600000000004</v>
      </c>
      <c r="J202" s="18">
        <v>150</v>
      </c>
      <c r="K202" s="18"/>
      <c r="L202" s="19">
        <f t="shared" ref="L202:L208" si="0">SUM(F202:K202)</f>
        <v>603583.69000000006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3000+99094.47+199174.45</f>
        <v>301268.92000000004</v>
      </c>
      <c r="G203" s="18">
        <f>7845+112846.94</f>
        <v>120691.94</v>
      </c>
      <c r="H203" s="18">
        <f>17401.42+9824.54</f>
        <v>27225.96</v>
      </c>
      <c r="I203" s="18">
        <f>204.85+27209.16+31853.52</f>
        <v>59267.53</v>
      </c>
      <c r="J203" s="18">
        <f>1494.9+62171.11</f>
        <v>63666.01</v>
      </c>
      <c r="K203" s="18">
        <v>1616.93</v>
      </c>
      <c r="L203" s="19">
        <f t="shared" si="0"/>
        <v>573737.29000000015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14100</v>
      </c>
      <c r="G204" s="18">
        <v>1078.6500000000001</v>
      </c>
      <c r="H204" s="18">
        <f>17416.68+211437</f>
        <v>228853.68</v>
      </c>
      <c r="I204" s="18"/>
      <c r="J204" s="18"/>
      <c r="K204" s="18">
        <v>9210.17</v>
      </c>
      <c r="L204" s="19">
        <f t="shared" si="0"/>
        <v>253242.5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312891.17</v>
      </c>
      <c r="G205" s="18">
        <v>119533.65</v>
      </c>
      <c r="H205" s="18">
        <v>11812.98</v>
      </c>
      <c r="I205" s="18">
        <v>1484.94</v>
      </c>
      <c r="J205" s="18"/>
      <c r="K205" s="18">
        <v>870</v>
      </c>
      <c r="L205" s="19">
        <f t="shared" si="0"/>
        <v>446592.73999999993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193056.66</v>
      </c>
      <c r="G207" s="18">
        <v>114888.79</v>
      </c>
      <c r="H207" s="18">
        <f>103432.19+36513.6435+3229.82</f>
        <v>143175.65350000001</v>
      </c>
      <c r="I207" s="18">
        <v>162910.37</v>
      </c>
      <c r="J207" s="18">
        <v>9796.6200000000008</v>
      </c>
      <c r="K207" s="18"/>
      <c r="L207" s="19">
        <f t="shared" si="0"/>
        <v>623828.09350000008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341821.81+3729.13+5644.25+5268.44+9182.11</f>
        <v>365645.74</v>
      </c>
      <c r="I208" s="18"/>
      <c r="J208" s="18"/>
      <c r="K208" s="18"/>
      <c r="L208" s="19">
        <f t="shared" si="0"/>
        <v>365645.74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f>513+12430.8</f>
        <v>12943.8</v>
      </c>
      <c r="L209" s="19">
        <f>SUM(F209:K209)</f>
        <v>12943.8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4512866.8100000005</v>
      </c>
      <c r="G211" s="41">
        <f t="shared" si="1"/>
        <v>1823148.7</v>
      </c>
      <c r="H211" s="41">
        <f t="shared" si="1"/>
        <v>1102889.7735000001</v>
      </c>
      <c r="I211" s="41">
        <f t="shared" si="1"/>
        <v>300560.32</v>
      </c>
      <c r="J211" s="41">
        <f t="shared" si="1"/>
        <v>80641.16</v>
      </c>
      <c r="K211" s="41">
        <f t="shared" si="1"/>
        <v>29336.38</v>
      </c>
      <c r="L211" s="41">
        <f t="shared" si="1"/>
        <v>7849443.1435000002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14055.69+65192.94</f>
        <v>79248.63</v>
      </c>
      <c r="I255" s="18"/>
      <c r="J255" s="18"/>
      <c r="K255" s="18"/>
      <c r="L255" s="19">
        <f t="shared" si="6"/>
        <v>79248.63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79248.63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79248.63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4512866.8100000005</v>
      </c>
      <c r="G257" s="41">
        <f t="shared" si="8"/>
        <v>1823148.7</v>
      </c>
      <c r="H257" s="41">
        <f t="shared" si="8"/>
        <v>1182138.4035</v>
      </c>
      <c r="I257" s="41">
        <f t="shared" si="8"/>
        <v>300560.32</v>
      </c>
      <c r="J257" s="41">
        <f t="shared" si="8"/>
        <v>80641.16</v>
      </c>
      <c r="K257" s="41">
        <f t="shared" si="8"/>
        <v>29336.38</v>
      </c>
      <c r="L257" s="41">
        <f t="shared" si="8"/>
        <v>7928691.7735000001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84000</v>
      </c>
      <c r="L260" s="19">
        <f>SUM(F260:K260)</f>
        <v>84000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53739.5</v>
      </c>
      <c r="L261" s="19">
        <f>SUM(F261:K261)</f>
        <v>53739.5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8000</v>
      </c>
      <c r="L263" s="19">
        <f>SUM(F263:K263)</f>
        <v>8000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140000</v>
      </c>
      <c r="L266" s="19">
        <f t="shared" si="9"/>
        <v>140000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285739.5</v>
      </c>
      <c r="L270" s="41">
        <f t="shared" si="9"/>
        <v>285739.5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4512866.8100000005</v>
      </c>
      <c r="G271" s="42">
        <f t="shared" si="11"/>
        <v>1823148.7</v>
      </c>
      <c r="H271" s="42">
        <f t="shared" si="11"/>
        <v>1182138.4035</v>
      </c>
      <c r="I271" s="42">
        <f t="shared" si="11"/>
        <v>300560.32</v>
      </c>
      <c r="J271" s="42">
        <f t="shared" si="11"/>
        <v>80641.16</v>
      </c>
      <c r="K271" s="42">
        <f t="shared" si="11"/>
        <v>315075.88</v>
      </c>
      <c r="L271" s="42">
        <f t="shared" si="11"/>
        <v>8214431.2735000001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350+5075+17650</f>
        <v>23075</v>
      </c>
      <c r="G276" s="18">
        <f>26.78+1.23+1.54+428.36+1489.68</f>
        <v>1947.5900000000001</v>
      </c>
      <c r="H276" s="18">
        <v>9000</v>
      </c>
      <c r="I276" s="18">
        <f>42.41+431.8</f>
        <v>474.21000000000004</v>
      </c>
      <c r="J276" s="18"/>
      <c r="K276" s="18"/>
      <c r="L276" s="19">
        <f>SUM(F276:K276)</f>
        <v>34496.799999999996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68646.67</v>
      </c>
      <c r="G277" s="18">
        <v>14356.74</v>
      </c>
      <c r="H277" s="18"/>
      <c r="I277" s="18">
        <v>3014.99</v>
      </c>
      <c r="J277" s="18">
        <v>656.94</v>
      </c>
      <c r="K277" s="18"/>
      <c r="L277" s="19">
        <f>SUM(F277:K277)</f>
        <v>86675.340000000011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4995.5</v>
      </c>
      <c r="G279" s="18">
        <f>382.16+318.6+17.48+21.98</f>
        <v>740.22</v>
      </c>
      <c r="H279" s="18"/>
      <c r="I279" s="18"/>
      <c r="J279" s="18"/>
      <c r="K279" s="18"/>
      <c r="L279" s="19">
        <f>SUM(F279:K279)</f>
        <v>5735.72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2067.21</v>
      </c>
      <c r="L283" s="19">
        <f t="shared" si="12"/>
        <v>2067.21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96717.17</v>
      </c>
      <c r="G290" s="42">
        <f t="shared" si="13"/>
        <v>17044.55</v>
      </c>
      <c r="H290" s="42">
        <f t="shared" si="13"/>
        <v>9000</v>
      </c>
      <c r="I290" s="42">
        <f t="shared" si="13"/>
        <v>3489.2</v>
      </c>
      <c r="J290" s="42">
        <f t="shared" si="13"/>
        <v>656.94</v>
      </c>
      <c r="K290" s="42">
        <f t="shared" si="13"/>
        <v>2067.21</v>
      </c>
      <c r="L290" s="41">
        <f t="shared" si="13"/>
        <v>128975.07000000002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96717.17</v>
      </c>
      <c r="G338" s="41">
        <f t="shared" si="20"/>
        <v>17044.55</v>
      </c>
      <c r="H338" s="41">
        <f t="shared" si="20"/>
        <v>9000</v>
      </c>
      <c r="I338" s="41">
        <f t="shared" si="20"/>
        <v>3489.2</v>
      </c>
      <c r="J338" s="41">
        <f t="shared" si="20"/>
        <v>656.94</v>
      </c>
      <c r="K338" s="41">
        <f t="shared" si="20"/>
        <v>2067.21</v>
      </c>
      <c r="L338" s="41">
        <f t="shared" si="20"/>
        <v>128975.07000000002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96717.17</v>
      </c>
      <c r="G352" s="41">
        <f>G338</f>
        <v>17044.55</v>
      </c>
      <c r="H352" s="41">
        <f>H338</f>
        <v>9000</v>
      </c>
      <c r="I352" s="41">
        <f>I338</f>
        <v>3489.2</v>
      </c>
      <c r="J352" s="41">
        <f>J338</f>
        <v>656.94</v>
      </c>
      <c r="K352" s="47">
        <f>K338+K351</f>
        <v>2067.21</v>
      </c>
      <c r="L352" s="41">
        <f>L338+L351</f>
        <v>128975.07000000002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38000.04+47732.54+259.09</f>
        <v>85991.67</v>
      </c>
      <c r="G358" s="18"/>
      <c r="H358" s="18">
        <v>3647.4</v>
      </c>
      <c r="I358" s="18">
        <f>3619.8+58438.71+11248.23+1362.31+3619.87</f>
        <v>78288.92</v>
      </c>
      <c r="J358" s="18">
        <v>4468</v>
      </c>
      <c r="K358" s="18">
        <v>2334</v>
      </c>
      <c r="L358" s="13">
        <f>SUM(F358:K358)</f>
        <v>174729.99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85991.67</v>
      </c>
      <c r="G362" s="47">
        <f t="shared" si="22"/>
        <v>0</v>
      </c>
      <c r="H362" s="47">
        <f t="shared" si="22"/>
        <v>3647.4</v>
      </c>
      <c r="I362" s="47">
        <f t="shared" si="22"/>
        <v>78288.92</v>
      </c>
      <c r="J362" s="47">
        <f t="shared" si="22"/>
        <v>4468</v>
      </c>
      <c r="K362" s="47">
        <f t="shared" si="22"/>
        <v>2334</v>
      </c>
      <c r="L362" s="47">
        <f t="shared" si="22"/>
        <v>174729.99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58438.71+11248.23+3619.87</f>
        <v>73306.81</v>
      </c>
      <c r="G367" s="18"/>
      <c r="H367" s="18"/>
      <c r="I367" s="56">
        <f>SUM(F367:H367)</f>
        <v>73306.81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3619.8+1362.31</f>
        <v>4982.1100000000006</v>
      </c>
      <c r="G368" s="63"/>
      <c r="H368" s="63"/>
      <c r="I368" s="56">
        <f>SUM(F368:H368)</f>
        <v>4982.1100000000006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78288.92</v>
      </c>
      <c r="G369" s="47">
        <f>SUM(G367:G368)</f>
        <v>0</v>
      </c>
      <c r="H369" s="47">
        <f>SUM(H367:H368)</f>
        <v>0</v>
      </c>
      <c r="I369" s="47">
        <f>SUM(I367:I368)</f>
        <v>78288.92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48337+20300</f>
        <v>68637</v>
      </c>
      <c r="I379" s="18"/>
      <c r="J379" s="18"/>
      <c r="K379" s="18"/>
      <c r="L379" s="13">
        <f t="shared" si="23"/>
        <v>68637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48741.440000000002</v>
      </c>
      <c r="L381" s="13">
        <f t="shared" si="23"/>
        <v>48741.440000000002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68637</v>
      </c>
      <c r="I382" s="41">
        <f t="shared" si="24"/>
        <v>0</v>
      </c>
      <c r="J382" s="47">
        <f t="shared" si="24"/>
        <v>0</v>
      </c>
      <c r="K382" s="47">
        <f t="shared" si="24"/>
        <v>48741.440000000002</v>
      </c>
      <c r="L382" s="47">
        <f t="shared" si="24"/>
        <v>117378.44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0.43</v>
      </c>
      <c r="I389" s="18"/>
      <c r="J389" s="24" t="s">
        <v>289</v>
      </c>
      <c r="K389" s="24" t="s">
        <v>289</v>
      </c>
      <c r="L389" s="56">
        <f t="shared" si="25"/>
        <v>0.43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0.43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0.43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132.99</v>
      </c>
      <c r="I395" s="18"/>
      <c r="J395" s="24" t="s">
        <v>289</v>
      </c>
      <c r="K395" s="24" t="s">
        <v>289</v>
      </c>
      <c r="L395" s="56">
        <f t="shared" ref="L395:L400" si="26">SUM(F395:K395)</f>
        <v>132.99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f>99.68</f>
        <v>99.68</v>
      </c>
      <c r="I396" s="18"/>
      <c r="J396" s="24" t="s">
        <v>289</v>
      </c>
      <c r="K396" s="24" t="s">
        <v>289</v>
      </c>
      <c r="L396" s="56">
        <f t="shared" si="26"/>
        <v>50099.68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135.94999999999999</v>
      </c>
      <c r="I397" s="18"/>
      <c r="J397" s="24" t="s">
        <v>289</v>
      </c>
      <c r="K397" s="24" t="s">
        <v>289</v>
      </c>
      <c r="L397" s="56">
        <f t="shared" si="26"/>
        <v>50135.95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15000</v>
      </c>
      <c r="H399" s="18">
        <v>15.17</v>
      </c>
      <c r="I399" s="18"/>
      <c r="J399" s="24" t="s">
        <v>289</v>
      </c>
      <c r="K399" s="24" t="s">
        <v>289</v>
      </c>
      <c r="L399" s="56">
        <f t="shared" si="26"/>
        <v>15015.17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25000</v>
      </c>
      <c r="H400" s="18">
        <v>25.29</v>
      </c>
      <c r="I400" s="18"/>
      <c r="J400" s="24" t="s">
        <v>289</v>
      </c>
      <c r="K400" s="24" t="s">
        <v>289</v>
      </c>
      <c r="L400" s="56">
        <f t="shared" si="26"/>
        <v>25025.29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140000</v>
      </c>
      <c r="H401" s="47">
        <f>SUM(H395:H400)</f>
        <v>409.08000000000004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140409.07999999999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140000</v>
      </c>
      <c r="H408" s="47">
        <f>H393+H401+H407</f>
        <v>409.51000000000005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140409.50999999998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20300</v>
      </c>
      <c r="L422" s="56">
        <f t="shared" si="29"/>
        <v>20300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20300</v>
      </c>
      <c r="L427" s="47">
        <f t="shared" si="30"/>
        <v>20300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20300</v>
      </c>
      <c r="L434" s="47">
        <f t="shared" si="32"/>
        <v>20300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302462.68</v>
      </c>
      <c r="H440" s="18"/>
      <c r="I440" s="56">
        <f t="shared" si="33"/>
        <v>302462.68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302462.68</v>
      </c>
      <c r="H446" s="13">
        <f>SUM(H439:H445)</f>
        <v>0</v>
      </c>
      <c r="I446" s="13">
        <f>SUM(I439:I445)</f>
        <v>302462.68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302462.68</v>
      </c>
      <c r="H459" s="18"/>
      <c r="I459" s="56">
        <f t="shared" si="34"/>
        <v>302462.68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302462.68</v>
      </c>
      <c r="H460" s="83">
        <f>SUM(H454:H459)</f>
        <v>0</v>
      </c>
      <c r="I460" s="83">
        <f>SUM(I454:I459)</f>
        <v>302462.68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302462.68</v>
      </c>
      <c r="H461" s="42">
        <f>H452+H460</f>
        <v>0</v>
      </c>
      <c r="I461" s="42">
        <f>I452+I460</f>
        <v>302462.68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201700.15</v>
      </c>
      <c r="G465" s="18">
        <v>8818.27</v>
      </c>
      <c r="H465" s="18">
        <v>0</v>
      </c>
      <c r="I465" s="18">
        <v>48741.440000000002</v>
      </c>
      <c r="J465" s="18">
        <v>182353.17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8232217.1399999997</v>
      </c>
      <c r="G468" s="18">
        <v>171195.1</v>
      </c>
      <c r="H468" s="18">
        <v>128975.07</v>
      </c>
      <c r="I468" s="18">
        <v>20300</v>
      </c>
      <c r="J468" s="18">
        <v>140409.51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8232217.1399999997</v>
      </c>
      <c r="G470" s="53">
        <f>SUM(G468:G469)</f>
        <v>171195.1</v>
      </c>
      <c r="H470" s="53">
        <f>SUM(H468:H469)</f>
        <v>128975.07</v>
      </c>
      <c r="I470" s="53">
        <f>SUM(I468:I469)</f>
        <v>20300</v>
      </c>
      <c r="J470" s="53">
        <f>SUM(J468:J469)</f>
        <v>140409.51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8214431.96-0.69</f>
        <v>8214431.2699999996</v>
      </c>
      <c r="G472" s="18">
        <v>174729.99</v>
      </c>
      <c r="H472" s="18">
        <v>128975.07</v>
      </c>
      <c r="I472" s="18">
        <f>48741.44+48337+20300</f>
        <v>117378.44</v>
      </c>
      <c r="J472" s="18">
        <v>20300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8214431.2699999996</v>
      </c>
      <c r="G474" s="53">
        <f>SUM(G472:G473)</f>
        <v>174729.99</v>
      </c>
      <c r="H474" s="53">
        <f>SUM(H472:H473)</f>
        <v>128975.07</v>
      </c>
      <c r="I474" s="53">
        <f>SUM(I472:I473)</f>
        <v>117378.44</v>
      </c>
      <c r="J474" s="53">
        <f>SUM(J472:J473)</f>
        <v>20300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219486.01999999955</v>
      </c>
      <c r="G476" s="53">
        <f>(G465+G470)- G474</f>
        <v>5283.3800000000047</v>
      </c>
      <c r="H476" s="53">
        <f>(H465+H470)- H474</f>
        <v>0</v>
      </c>
      <c r="I476" s="53">
        <f>(I465+I470)- I474</f>
        <v>-48337</v>
      </c>
      <c r="J476" s="53">
        <f>(J465+J470)- J474</f>
        <v>302462.68000000005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2.61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1044000</v>
      </c>
      <c r="G495" s="18"/>
      <c r="H495" s="18"/>
      <c r="I495" s="18"/>
      <c r="J495" s="18"/>
      <c r="K495" s="53">
        <f>SUM(F495:J495)</f>
        <v>1044000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840000</v>
      </c>
      <c r="G497" s="18"/>
      <c r="H497" s="18"/>
      <c r="I497" s="18"/>
      <c r="J497" s="18"/>
      <c r="K497" s="53">
        <f t="shared" si="35"/>
        <v>840000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960000</v>
      </c>
      <c r="G498" s="204"/>
      <c r="H498" s="204"/>
      <c r="I498" s="204"/>
      <c r="J498" s="204"/>
      <c r="K498" s="205">
        <f t="shared" si="35"/>
        <v>960000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250096.25</v>
      </c>
      <c r="G499" s="18"/>
      <c r="H499" s="18"/>
      <c r="I499" s="18"/>
      <c r="J499" s="18"/>
      <c r="K499" s="53">
        <f t="shared" si="35"/>
        <v>250096.25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1210096.25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1210096.25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85000</v>
      </c>
      <c r="G501" s="204"/>
      <c r="H501" s="204"/>
      <c r="I501" s="204"/>
      <c r="J501" s="204"/>
      <c r="K501" s="205">
        <f t="shared" si="35"/>
        <v>85000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49430</v>
      </c>
      <c r="G502" s="18"/>
      <c r="H502" s="18"/>
      <c r="I502" s="18"/>
      <c r="J502" s="18"/>
      <c r="K502" s="53">
        <f t="shared" si="35"/>
        <v>49430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134430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134430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333377.63+383494.71+350+68646.67</f>
        <v>785869.01000000013</v>
      </c>
      <c r="G521" s="18">
        <f>140224.76+80552.89+14356.74</f>
        <v>235134.39</v>
      </c>
      <c r="H521" s="18">
        <f>260181.22-4590.75</f>
        <v>255590.47</v>
      </c>
      <c r="I521" s="18">
        <f>3525.65+3014.99</f>
        <v>6540.6399999999994</v>
      </c>
      <c r="J521" s="18">
        <f>3028.68+656.94</f>
        <v>3685.62</v>
      </c>
      <c r="K521" s="18"/>
      <c r="L521" s="88">
        <f>SUM(F521:K521)</f>
        <v>1286820.1300000001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785869.01000000013</v>
      </c>
      <c r="G524" s="108">
        <f t="shared" ref="G524:L524" si="36">SUM(G521:G523)</f>
        <v>235134.39</v>
      </c>
      <c r="H524" s="108">
        <f t="shared" si="36"/>
        <v>255590.47</v>
      </c>
      <c r="I524" s="108">
        <f t="shared" si="36"/>
        <v>6540.6399999999994</v>
      </c>
      <c r="J524" s="108">
        <f t="shared" si="36"/>
        <v>3685.62</v>
      </c>
      <c r="K524" s="108">
        <f t="shared" si="36"/>
        <v>0</v>
      </c>
      <c r="L524" s="89">
        <f t="shared" si="36"/>
        <v>1286820.1300000001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89254.94+37255.77+257254.76</f>
        <v>383765.47</v>
      </c>
      <c r="G526" s="18">
        <f>43681.2+3081.05+114999.88</f>
        <v>161762.13</v>
      </c>
      <c r="H526" s="18"/>
      <c r="I526" s="18">
        <v>335.78</v>
      </c>
      <c r="J526" s="18"/>
      <c r="K526" s="18"/>
      <c r="L526" s="88">
        <f>SUM(F526:K526)</f>
        <v>545863.38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383765.47</v>
      </c>
      <c r="G529" s="89">
        <f t="shared" ref="G529:L529" si="37">SUM(G526:G528)</f>
        <v>161762.13</v>
      </c>
      <c r="H529" s="89">
        <f t="shared" si="37"/>
        <v>0</v>
      </c>
      <c r="I529" s="89">
        <f t="shared" si="37"/>
        <v>335.78</v>
      </c>
      <c r="J529" s="89">
        <f t="shared" si="37"/>
        <v>0</v>
      </c>
      <c r="K529" s="89">
        <f t="shared" si="37"/>
        <v>0</v>
      </c>
      <c r="L529" s="89">
        <f t="shared" si="37"/>
        <v>545863.38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30425.32</v>
      </c>
      <c r="G531" s="18">
        <v>7684.51</v>
      </c>
      <c r="H531" s="18"/>
      <c r="I531" s="18"/>
      <c r="J531" s="18"/>
      <c r="K531" s="18">
        <f>125+1315.49+58.75</f>
        <v>1499.24</v>
      </c>
      <c r="L531" s="88">
        <f>SUM(F531:K531)</f>
        <v>39609.07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30425.32</v>
      </c>
      <c r="G534" s="89">
        <f t="shared" ref="G534:L534" si="38">SUM(G531:G533)</f>
        <v>7684.51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1499.24</v>
      </c>
      <c r="L534" s="89">
        <f t="shared" si="38"/>
        <v>39609.07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4590.75</v>
      </c>
      <c r="I536" s="18"/>
      <c r="J536" s="18"/>
      <c r="K536" s="18"/>
      <c r="L536" s="88">
        <f>SUM(F536:K536)</f>
        <v>4590.75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4590.75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4590.75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3729.13</v>
      </c>
      <c r="I541" s="18"/>
      <c r="J541" s="18"/>
      <c r="K541" s="18"/>
      <c r="L541" s="88">
        <f>SUM(F541:K541)</f>
        <v>3729.13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3729.13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3729.13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1200059.8</v>
      </c>
      <c r="G545" s="89">
        <f t="shared" ref="G545:L545" si="41">G524+G529+G534+G539+G544</f>
        <v>404581.03</v>
      </c>
      <c r="H545" s="89">
        <f t="shared" si="41"/>
        <v>263910.34999999998</v>
      </c>
      <c r="I545" s="89">
        <f t="shared" si="41"/>
        <v>6876.4199999999992</v>
      </c>
      <c r="J545" s="89">
        <f t="shared" si="41"/>
        <v>3685.62</v>
      </c>
      <c r="K545" s="89">
        <f t="shared" si="41"/>
        <v>1499.24</v>
      </c>
      <c r="L545" s="89">
        <f t="shared" si="41"/>
        <v>1880612.4600000002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1286820.1300000001</v>
      </c>
      <c r="G549" s="87">
        <f>L526</f>
        <v>545863.38</v>
      </c>
      <c r="H549" s="87">
        <f>L531</f>
        <v>39609.07</v>
      </c>
      <c r="I549" s="87">
        <f>L536</f>
        <v>4590.75</v>
      </c>
      <c r="J549" s="87">
        <f>L541</f>
        <v>3729.13</v>
      </c>
      <c r="K549" s="87">
        <f>SUM(F549:J549)</f>
        <v>1880612.4600000002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1286820.1300000001</v>
      </c>
      <c r="G552" s="89">
        <f t="shared" si="42"/>
        <v>545863.38</v>
      </c>
      <c r="H552" s="89">
        <f t="shared" si="42"/>
        <v>39609.07</v>
      </c>
      <c r="I552" s="89">
        <f t="shared" si="42"/>
        <v>4590.75</v>
      </c>
      <c r="J552" s="89">
        <f t="shared" si="42"/>
        <v>3729.13</v>
      </c>
      <c r="K552" s="89">
        <f t="shared" si="42"/>
        <v>1880612.4600000002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148988.70000000001</v>
      </c>
      <c r="G582" s="18"/>
      <c r="H582" s="18"/>
      <c r="I582" s="87">
        <f t="shared" si="47"/>
        <v>148988.70000000001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341821.81</v>
      </c>
      <c r="I591" s="18"/>
      <c r="J591" s="18"/>
      <c r="K591" s="104">
        <f t="shared" ref="K591:K597" si="48">SUM(H591:J591)</f>
        <v>341821.81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3729.13</v>
      </c>
      <c r="I592" s="18"/>
      <c r="J592" s="18"/>
      <c r="K592" s="104">
        <f t="shared" si="48"/>
        <v>3729.13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5644.25</v>
      </c>
      <c r="I594" s="18"/>
      <c r="J594" s="18"/>
      <c r="K594" s="104">
        <f t="shared" si="48"/>
        <v>5644.25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5268.44</v>
      </c>
      <c r="I595" s="18"/>
      <c r="J595" s="18"/>
      <c r="K595" s="104">
        <f t="shared" si="48"/>
        <v>5268.44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9182.11</v>
      </c>
      <c r="I597" s="18"/>
      <c r="J597" s="18"/>
      <c r="K597" s="104">
        <f t="shared" si="48"/>
        <v>9182.11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365645.74</v>
      </c>
      <c r="I598" s="108">
        <f>SUM(I591:I597)</f>
        <v>0</v>
      </c>
      <c r="J598" s="108">
        <f>SUM(J591:J597)</f>
        <v>0</v>
      </c>
      <c r="K598" s="108">
        <f>SUM(K591:K597)</f>
        <v>365645.74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79602.32+656.94+1038.84</f>
        <v>81298.100000000006</v>
      </c>
      <c r="I604" s="18"/>
      <c r="J604" s="18"/>
      <c r="K604" s="104">
        <f>SUM(H604:J604)</f>
        <v>81298.100000000006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81298.100000000006</v>
      </c>
      <c r="I605" s="108">
        <f>SUM(I602:I604)</f>
        <v>0</v>
      </c>
      <c r="J605" s="108">
        <f>SUM(J602:J604)</f>
        <v>0</v>
      </c>
      <c r="K605" s="108">
        <f>SUM(K602:K604)</f>
        <v>81298.100000000006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278503.64999999997</v>
      </c>
      <c r="H617" s="109">
        <f>SUM(F52)</f>
        <v>278503.65000000002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9748.5999999999985</v>
      </c>
      <c r="H618" s="109">
        <f>SUM(G52)</f>
        <v>9748.5999999999985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15035.72</v>
      </c>
      <c r="H619" s="109">
        <f>SUM(H52)</f>
        <v>15035.72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302462.68</v>
      </c>
      <c r="H621" s="109">
        <f>SUM(J52)</f>
        <v>302462.68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219486.02000000002</v>
      </c>
      <c r="H622" s="109">
        <f>F476</f>
        <v>219486.01999999955</v>
      </c>
      <c r="I622" s="121" t="s">
        <v>101</v>
      </c>
      <c r="J622" s="109">
        <f t="shared" ref="J622:J655" si="50">G622-H622</f>
        <v>4.6566128730773926E-10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5283.3799999999992</v>
      </c>
      <c r="H623" s="109">
        <f>G476</f>
        <v>5283.3800000000047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-48337</v>
      </c>
      <c r="H625" s="109">
        <f>I476</f>
        <v>-48337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302462.68</v>
      </c>
      <c r="H626" s="109">
        <f>J476</f>
        <v>302462.68000000005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8232217.1400000006</v>
      </c>
      <c r="H627" s="104">
        <f>SUM(F468)</f>
        <v>8232217.1399999997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171195.1</v>
      </c>
      <c r="H628" s="104">
        <f>SUM(G468)</f>
        <v>171195.1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128975.06999999999</v>
      </c>
      <c r="H629" s="104">
        <f>SUM(H468)</f>
        <v>128975.07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20300</v>
      </c>
      <c r="H630" s="104">
        <f>SUM(I468)</f>
        <v>20300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140409.51</v>
      </c>
      <c r="H631" s="104">
        <f>SUM(J468)</f>
        <v>140409.51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8214431.2735000001</v>
      </c>
      <c r="H632" s="104">
        <f>SUM(F472)</f>
        <v>8214431.2699999996</v>
      </c>
      <c r="I632" s="140" t="s">
        <v>111</v>
      </c>
      <c r="J632" s="109">
        <f t="shared" si="50"/>
        <v>3.500000573694706E-3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128975.07000000002</v>
      </c>
      <c r="H633" s="104">
        <f>SUM(H472)</f>
        <v>128975.07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78288.92</v>
      </c>
      <c r="H634" s="104">
        <f>I369</f>
        <v>78288.92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174729.99</v>
      </c>
      <c r="H635" s="104">
        <f>SUM(G472)</f>
        <v>174729.99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117378.44</v>
      </c>
      <c r="H636" s="104">
        <f>SUM(I472)</f>
        <v>117378.44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140409.50999999998</v>
      </c>
      <c r="H637" s="164">
        <f>SUM(J468)</f>
        <v>140409.51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20300</v>
      </c>
      <c r="H638" s="164">
        <f>SUM(J472)</f>
        <v>20300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302462.68</v>
      </c>
      <c r="H640" s="104">
        <f>SUM(G461)</f>
        <v>302462.68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302462.68</v>
      </c>
      <c r="H642" s="104">
        <f>SUM(I461)</f>
        <v>302462.68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409.51</v>
      </c>
      <c r="H644" s="104">
        <f>H408</f>
        <v>409.51000000000005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140000</v>
      </c>
      <c r="H645" s="104">
        <f>G408</f>
        <v>140000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140409.51</v>
      </c>
      <c r="H646" s="104">
        <f>L408</f>
        <v>140409.50999999998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365645.74</v>
      </c>
      <c r="H647" s="104">
        <f>L208+L226+L244</f>
        <v>365645.74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81298.100000000006</v>
      </c>
      <c r="H648" s="104">
        <f>(J257+J338)-(J255+J336)</f>
        <v>81298.100000000006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365645.74</v>
      </c>
      <c r="H649" s="104">
        <f>H598</f>
        <v>365645.74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8000</v>
      </c>
      <c r="H652" s="104">
        <f>K263+K345</f>
        <v>8000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140000</v>
      </c>
      <c r="H655" s="104">
        <f>K266+K347</f>
        <v>140000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3.4999996423721313E-3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8153148.2035000008</v>
      </c>
      <c r="G660" s="19">
        <f>(L229+L309+L359)</f>
        <v>0</v>
      </c>
      <c r="H660" s="19">
        <f>(L247+L328+L360)</f>
        <v>0</v>
      </c>
      <c r="I660" s="19">
        <f>SUM(F660:H660)</f>
        <v>8153148.2035000008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117660.54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117660.54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365645.74</v>
      </c>
      <c r="G662" s="19">
        <f>(L226+L306)-(J226+J306)</f>
        <v>0</v>
      </c>
      <c r="H662" s="19">
        <f>(L244+L325)-(J244+J325)</f>
        <v>0</v>
      </c>
      <c r="I662" s="19">
        <f>SUM(F662:H662)</f>
        <v>365645.74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230286.80000000002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230286.80000000002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7439555.1235000007</v>
      </c>
      <c r="G664" s="19">
        <f>G660-SUM(G661:G663)</f>
        <v>0</v>
      </c>
      <c r="H664" s="19">
        <f>H660-SUM(H661:H663)</f>
        <v>0</v>
      </c>
      <c r="I664" s="19">
        <f>I660-SUM(I661:I663)</f>
        <v>7439555.1235000007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436.21</v>
      </c>
      <c r="G665" s="248"/>
      <c r="H665" s="248"/>
      <c r="I665" s="19">
        <f>SUM(F665:H665)</f>
        <v>436.21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17054.990000000002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17054.990000000002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17054.990000000002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17054.990000000002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 HAMPTON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2379884.91</v>
      </c>
      <c r="C9" s="229">
        <f>'DOE25'!G197+'DOE25'!G215+'DOE25'!G233+'DOE25'!G276+'DOE25'!G295+'DOE25'!G314</f>
        <v>1019490.53</v>
      </c>
    </row>
    <row r="10" spans="1:3" x14ac:dyDescent="0.2">
      <c r="A10" t="s">
        <v>779</v>
      </c>
      <c r="B10" s="240">
        <f>2315123.16+350+5075+17650</f>
        <v>2338198.16</v>
      </c>
      <c r="C10" s="240">
        <f>1016200.98+26.78+1.23+1.54+428.36+1489.68-906.42-948.32-0.69</f>
        <v>1016293.1400000001</v>
      </c>
    </row>
    <row r="11" spans="1:3" x14ac:dyDescent="0.2">
      <c r="A11" t="s">
        <v>780</v>
      </c>
      <c r="B11" s="240">
        <v>1855.56</v>
      </c>
      <c r="C11" s="240">
        <v>150.30000000000001</v>
      </c>
    </row>
    <row r="12" spans="1:3" x14ac:dyDescent="0.2">
      <c r="A12" t="s">
        <v>781</v>
      </c>
      <c r="B12" s="240">
        <v>39831.19</v>
      </c>
      <c r="C12" s="240">
        <v>3047.09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2379884.91</v>
      </c>
      <c r="C13" s="231">
        <f>SUM(C10:C12)</f>
        <v>1019490.5300000001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942805.04</v>
      </c>
      <c r="C18" s="229">
        <f>'DOE25'!G198+'DOE25'!G216+'DOE25'!G234+'DOE25'!G277+'DOE25'!G296+'DOE25'!G315</f>
        <v>289581.15999999997</v>
      </c>
    </row>
    <row r="19" spans="1:3" x14ac:dyDescent="0.2">
      <c r="A19" t="s">
        <v>779</v>
      </c>
      <c r="B19" s="240">
        <f>333377.63+89254.94+68646.67</f>
        <v>491279.24</v>
      </c>
      <c r="C19" s="240">
        <f>140224.77+43681.2+14356.74</f>
        <v>198262.70999999996</v>
      </c>
    </row>
    <row r="20" spans="1:3" x14ac:dyDescent="0.2">
      <c r="A20" t="s">
        <v>780</v>
      </c>
      <c r="B20" s="240">
        <f>383494.71+350</f>
        <v>383844.71</v>
      </c>
      <c r="C20" s="240">
        <v>80552.89</v>
      </c>
    </row>
    <row r="21" spans="1:3" x14ac:dyDescent="0.2">
      <c r="A21" t="s">
        <v>781</v>
      </c>
      <c r="B21" s="240">
        <f>30425.32+37255.77</f>
        <v>67681.09</v>
      </c>
      <c r="C21" s="240">
        <f>7684.51+3081.05</f>
        <v>10765.560000000001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942805.03999999992</v>
      </c>
      <c r="C22" s="231">
        <f>SUM(C19:C21)</f>
        <v>289581.15999999997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37184.5</v>
      </c>
      <c r="C36" s="235">
        <f>'DOE25'!G200+'DOE25'!G218+'DOE25'!G236+'DOE25'!G279+'DOE25'!G298+'DOE25'!G317</f>
        <v>3202.6800000000003</v>
      </c>
    </row>
    <row r="37" spans="1:3" x14ac:dyDescent="0.2">
      <c r="A37" t="s">
        <v>779</v>
      </c>
      <c r="B37" s="240">
        <v>4995.5</v>
      </c>
      <c r="C37" s="240">
        <f>382.16+318.6+17.48+21.98</f>
        <v>740.22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32189</v>
      </c>
      <c r="C39" s="240">
        <v>2462.46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37184.5</v>
      </c>
      <c r="C40" s="231">
        <f>SUM(C37:C39)</f>
        <v>3202.6800000000003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NORTH HAMPTON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4969869.2899999991</v>
      </c>
      <c r="D5" s="20">
        <f>SUM('DOE25'!L197:L200)+SUM('DOE25'!L215:L218)+SUM('DOE25'!L233:L236)-F5-G5</f>
        <v>4958145.2799999984</v>
      </c>
      <c r="E5" s="243"/>
      <c r="F5" s="255">
        <f>SUM('DOE25'!J197:J200)+SUM('DOE25'!J215:J218)+SUM('DOE25'!J233:J236)</f>
        <v>7028.5300000000007</v>
      </c>
      <c r="G5" s="53">
        <f>SUM('DOE25'!K197:K200)+SUM('DOE25'!K215:K218)+SUM('DOE25'!K233:K236)</f>
        <v>4695.4799999999996</v>
      </c>
      <c r="H5" s="259"/>
    </row>
    <row r="6" spans="1:9" x14ac:dyDescent="0.2">
      <c r="A6" s="32">
        <v>2100</v>
      </c>
      <c r="B6" t="s">
        <v>801</v>
      </c>
      <c r="C6" s="245">
        <f t="shared" si="0"/>
        <v>603583.69000000006</v>
      </c>
      <c r="D6" s="20">
        <f>'DOE25'!L202+'DOE25'!L220+'DOE25'!L238-F6-G6</f>
        <v>603433.69000000006</v>
      </c>
      <c r="E6" s="243"/>
      <c r="F6" s="255">
        <f>'DOE25'!J202+'DOE25'!J220+'DOE25'!J238</f>
        <v>150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573737.29000000015</v>
      </c>
      <c r="D7" s="20">
        <f>'DOE25'!L203+'DOE25'!L221+'DOE25'!L239-F7-G7</f>
        <v>508454.35000000015</v>
      </c>
      <c r="E7" s="243"/>
      <c r="F7" s="255">
        <f>'DOE25'!J203+'DOE25'!J221+'DOE25'!J239</f>
        <v>63666.01</v>
      </c>
      <c r="G7" s="53">
        <f>'DOE25'!K203+'DOE25'!K221+'DOE25'!K239</f>
        <v>1616.93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144486.84</v>
      </c>
      <c r="D8" s="243"/>
      <c r="E8" s="20">
        <f>'DOE25'!L204+'DOE25'!L222+'DOE25'!L240-F8-G8-D9-D11</f>
        <v>135276.66999999998</v>
      </c>
      <c r="F8" s="255">
        <f>'DOE25'!J204+'DOE25'!J222+'DOE25'!J240</f>
        <v>0</v>
      </c>
      <c r="G8" s="53">
        <f>'DOE25'!K204+'DOE25'!K222+'DOE25'!K240</f>
        <v>9210.17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40726.85</v>
      </c>
      <c r="D9" s="244">
        <v>40726.85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7600</v>
      </c>
      <c r="D10" s="243"/>
      <c r="E10" s="244">
        <v>7600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68028.81</v>
      </c>
      <c r="D11" s="244">
        <v>68028.81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446592.73999999993</v>
      </c>
      <c r="D12" s="20">
        <f>'DOE25'!L205+'DOE25'!L223+'DOE25'!L241-F12-G12</f>
        <v>445722.73999999993</v>
      </c>
      <c r="E12" s="243"/>
      <c r="F12" s="255">
        <f>'DOE25'!J205+'DOE25'!J223+'DOE25'!J241</f>
        <v>0</v>
      </c>
      <c r="G12" s="53">
        <f>'DOE25'!K205+'DOE25'!K223+'DOE25'!K241</f>
        <v>870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623828.09350000008</v>
      </c>
      <c r="D14" s="20">
        <f>'DOE25'!L207+'DOE25'!L225+'DOE25'!L243-F14-G14</f>
        <v>614031.47350000008</v>
      </c>
      <c r="E14" s="243"/>
      <c r="F14" s="255">
        <f>'DOE25'!J207+'DOE25'!J225+'DOE25'!J243</f>
        <v>9796.6200000000008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365645.74</v>
      </c>
      <c r="D15" s="20">
        <f>'DOE25'!L208+'DOE25'!L226+'DOE25'!L244-F15-G15</f>
        <v>365645.74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12943.8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12943.8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79248.63</v>
      </c>
      <c r="D22" s="243"/>
      <c r="E22" s="243"/>
      <c r="F22" s="255">
        <f>'DOE25'!L255+'DOE25'!L336</f>
        <v>79248.63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137739.5</v>
      </c>
      <c r="D25" s="243"/>
      <c r="E25" s="243"/>
      <c r="F25" s="258"/>
      <c r="G25" s="256"/>
      <c r="H25" s="257">
        <f>'DOE25'!L260+'DOE25'!L261+'DOE25'!L341+'DOE25'!L342</f>
        <v>137739.5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101423.18</v>
      </c>
      <c r="D29" s="20">
        <f>'DOE25'!L358+'DOE25'!L359+'DOE25'!L360-'DOE25'!I367-F29-G29</f>
        <v>94621.18</v>
      </c>
      <c r="E29" s="243"/>
      <c r="F29" s="255">
        <f>'DOE25'!J358+'DOE25'!J359+'DOE25'!J360</f>
        <v>4468</v>
      </c>
      <c r="G29" s="53">
        <f>'DOE25'!K358+'DOE25'!K359+'DOE25'!K360</f>
        <v>2334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128975.07000000002</v>
      </c>
      <c r="D31" s="20">
        <f>'DOE25'!L290+'DOE25'!L309+'DOE25'!L328+'DOE25'!L333+'DOE25'!L334+'DOE25'!L335-F31-G31</f>
        <v>126250.92000000001</v>
      </c>
      <c r="E31" s="243"/>
      <c r="F31" s="255">
        <f>'DOE25'!J290+'DOE25'!J309+'DOE25'!J328+'DOE25'!J333+'DOE25'!J334+'DOE25'!J335</f>
        <v>656.94</v>
      </c>
      <c r="G31" s="53">
        <f>'DOE25'!K290+'DOE25'!K309+'DOE25'!K328+'DOE25'!K333+'DOE25'!K334+'DOE25'!K335</f>
        <v>2067.21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7825061.033499999</v>
      </c>
      <c r="E33" s="246">
        <f>SUM(E5:E31)</f>
        <v>142876.66999999998</v>
      </c>
      <c r="F33" s="246">
        <f>SUM(F5:F31)</f>
        <v>165014.73000000001</v>
      </c>
      <c r="G33" s="246">
        <f>SUM(G5:G31)</f>
        <v>33737.590000000004</v>
      </c>
      <c r="H33" s="246">
        <f>SUM(H5:H31)</f>
        <v>137739.5</v>
      </c>
    </row>
    <row r="35" spans="2:8" ht="12" thickBot="1" x14ac:dyDescent="0.25">
      <c r="B35" s="253" t="s">
        <v>847</v>
      </c>
      <c r="D35" s="254">
        <f>E33</f>
        <v>142876.66999999998</v>
      </c>
      <c r="E35" s="249"/>
    </row>
    <row r="36" spans="2:8" ht="12" thickTop="1" x14ac:dyDescent="0.2">
      <c r="B36" t="s">
        <v>815</v>
      </c>
      <c r="D36" s="20">
        <f>D33</f>
        <v>7825061.033499999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 HAMPTON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184459.46999999997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302462.68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61156.12</v>
      </c>
      <c r="D11" s="95">
        <f>'DOE25'!G12</f>
        <v>2216.6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26279.27</v>
      </c>
      <c r="D12" s="95">
        <f>'DOE25'!G13</f>
        <v>2271.65</v>
      </c>
      <c r="E12" s="95">
        <f>'DOE25'!H13</f>
        <v>15035.72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6608.79</v>
      </c>
      <c r="D13" s="95">
        <f>'DOE25'!G14</f>
        <v>61.95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5198.3999999999996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278503.64999999997</v>
      </c>
      <c r="D18" s="41">
        <f>SUM(D8:D17)</f>
        <v>9748.5999999999985</v>
      </c>
      <c r="E18" s="41">
        <f>SUM(E8:E17)</f>
        <v>15035.72</v>
      </c>
      <c r="F18" s="41">
        <f>SUM(F8:F17)</f>
        <v>0</v>
      </c>
      <c r="G18" s="41">
        <f>SUM(G8:G17)</f>
        <v>302462.68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15035.72</v>
      </c>
      <c r="F21" s="95">
        <f>'DOE25'!I22</f>
        <v>48337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19043.900000000001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14741.2</v>
      </c>
      <c r="D27" s="95">
        <f>'DOE25'!G28</f>
        <v>657.03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25232.53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3808.19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59017.630000000005</v>
      </c>
      <c r="D31" s="41">
        <f>SUM(D21:D30)</f>
        <v>4465.22</v>
      </c>
      <c r="E31" s="41">
        <f>SUM(E21:E30)</f>
        <v>15035.72</v>
      </c>
      <c r="F31" s="41">
        <f>SUM(F21:F30)</f>
        <v>48337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5198.3999999999996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84.98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27669.67</v>
      </c>
      <c r="D47" s="95">
        <f>'DOE25'!G48</f>
        <v>0</v>
      </c>
      <c r="E47" s="95">
        <f>'DOE25'!H48</f>
        <v>0</v>
      </c>
      <c r="F47" s="95">
        <f>'DOE25'!I48</f>
        <v>-48337</v>
      </c>
      <c r="G47" s="95">
        <f>'DOE25'!J48</f>
        <v>302462.68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30302.65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61513.7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219486.02000000002</v>
      </c>
      <c r="D50" s="41">
        <f>SUM(D34:D49)</f>
        <v>5283.3799999999992</v>
      </c>
      <c r="E50" s="41">
        <f>SUM(E34:E49)</f>
        <v>0</v>
      </c>
      <c r="F50" s="41">
        <f>SUM(F34:F49)</f>
        <v>-48337</v>
      </c>
      <c r="G50" s="41">
        <f>SUM(G34:G49)</f>
        <v>302462.68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278503.65000000002</v>
      </c>
      <c r="D51" s="41">
        <f>D50+D31</f>
        <v>9748.5999999999985</v>
      </c>
      <c r="E51" s="41">
        <f>E50+E31</f>
        <v>15035.72</v>
      </c>
      <c r="F51" s="41">
        <f>F50+F31</f>
        <v>0</v>
      </c>
      <c r="G51" s="41">
        <f>G50+G31</f>
        <v>302462.68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5991851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18332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82.1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409.51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117660.54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109366.59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127780.69</v>
      </c>
      <c r="D62" s="130">
        <f>SUM(D57:D61)</f>
        <v>117660.54</v>
      </c>
      <c r="E62" s="130">
        <f>SUM(E57:E61)</f>
        <v>0</v>
      </c>
      <c r="F62" s="130">
        <f>SUM(F57:F61)</f>
        <v>0</v>
      </c>
      <c r="G62" s="130">
        <f>SUM(G57:G61)</f>
        <v>409.51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6119631.6900000004</v>
      </c>
      <c r="D63" s="22">
        <f>D56+D62</f>
        <v>117660.54</v>
      </c>
      <c r="E63" s="22">
        <f>E56+E62</f>
        <v>0</v>
      </c>
      <c r="F63" s="22">
        <f>F56+F62</f>
        <v>0</v>
      </c>
      <c r="G63" s="22">
        <f>G56+G62</f>
        <v>409.51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174076.46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1850017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2024093.46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1976.13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1976.13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2024093.46</v>
      </c>
      <c r="D81" s="130">
        <f>SUM(D79:D80)+D78+D70</f>
        <v>1976.13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39750.550000000003</v>
      </c>
      <c r="D88" s="95">
        <f>SUM('DOE25'!G153:G161)</f>
        <v>32310.2</v>
      </c>
      <c r="E88" s="95">
        <f>SUM('DOE25'!H153:H161)</f>
        <v>128975.06999999999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11248.23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39750.550000000003</v>
      </c>
      <c r="D91" s="131">
        <f>SUM(D85:D90)</f>
        <v>43558.43</v>
      </c>
      <c r="E91" s="131">
        <f>SUM(E85:E90)</f>
        <v>128975.06999999999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8000</v>
      </c>
      <c r="E96" s="95">
        <f>'DOE25'!H179</f>
        <v>0</v>
      </c>
      <c r="F96" s="95">
        <f>'DOE25'!I179</f>
        <v>0</v>
      </c>
      <c r="G96" s="95">
        <f>'DOE25'!J179</f>
        <v>140000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48741.440000000002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20300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48741.440000000002</v>
      </c>
      <c r="D103" s="86">
        <f>SUM(D93:D102)</f>
        <v>8000</v>
      </c>
      <c r="E103" s="86">
        <f>SUM(E93:E102)</f>
        <v>0</v>
      </c>
      <c r="F103" s="86">
        <f>SUM(F93:F102)</f>
        <v>20300</v>
      </c>
      <c r="G103" s="86">
        <f>SUM(G93:G102)</f>
        <v>140000</v>
      </c>
    </row>
    <row r="104" spans="1:7" ht="12.75" thickTop="1" thickBot="1" x14ac:dyDescent="0.25">
      <c r="A104" s="33" t="s">
        <v>765</v>
      </c>
      <c r="C104" s="86">
        <f>C63+C81+C91+C103</f>
        <v>8232217.1400000006</v>
      </c>
      <c r="D104" s="86">
        <f>D63+D81+D91+D103</f>
        <v>171195.1</v>
      </c>
      <c r="E104" s="86">
        <f>E63+E81+E91+E103</f>
        <v>128975.06999999999</v>
      </c>
      <c r="F104" s="86">
        <f>F63+F81+F91+F103</f>
        <v>20300</v>
      </c>
      <c r="G104" s="86">
        <f>G63+G81+G103</f>
        <v>140409.51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3455884.36</v>
      </c>
      <c r="D109" s="24" t="s">
        <v>289</v>
      </c>
      <c r="E109" s="95">
        <f>('DOE25'!L276)+('DOE25'!L295)+('DOE25'!L314)</f>
        <v>34496.799999999996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1416243.3399999999</v>
      </c>
      <c r="D110" s="24" t="s">
        <v>289</v>
      </c>
      <c r="E110" s="95">
        <f>('DOE25'!L277)+('DOE25'!L296)+('DOE25'!L315)</f>
        <v>86675.340000000011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97741.59</v>
      </c>
      <c r="D112" s="24" t="s">
        <v>289</v>
      </c>
      <c r="E112" s="95">
        <f>+('DOE25'!L279)+('DOE25'!L298)+('DOE25'!L317)</f>
        <v>5735.72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4969869.2899999991</v>
      </c>
      <c r="D115" s="86">
        <f>SUM(D109:D114)</f>
        <v>0</v>
      </c>
      <c r="E115" s="86">
        <f>SUM(E109:E114)</f>
        <v>126907.86000000002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603583.69000000006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573737.29000000015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253242.5</v>
      </c>
      <c r="D120" s="24" t="s">
        <v>289</v>
      </c>
      <c r="E120" s="95">
        <f>+('DOE25'!L283)+('DOE25'!L302)+('DOE25'!L321)</f>
        <v>2067.21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446592.73999999993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623828.09350000008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365645.74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12943.8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174729.99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2879573.8535000002</v>
      </c>
      <c r="D128" s="86">
        <f>SUM(D118:D127)</f>
        <v>174729.99</v>
      </c>
      <c r="E128" s="86">
        <f>SUM(E118:E127)</f>
        <v>2067.21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79248.63</v>
      </c>
      <c r="D130" s="24" t="s">
        <v>289</v>
      </c>
      <c r="E130" s="129">
        <f>'DOE25'!L336</f>
        <v>0</v>
      </c>
      <c r="F130" s="129">
        <f>SUM('DOE25'!L374:'DOE25'!L380)</f>
        <v>68637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84000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53739.5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48741.440000000002</v>
      </c>
      <c r="G134" s="95">
        <f>'DOE25'!K434</f>
        <v>20300</v>
      </c>
    </row>
    <row r="135" spans="1:7" x14ac:dyDescent="0.2">
      <c r="A135" t="s">
        <v>233</v>
      </c>
      <c r="B135" s="32" t="s">
        <v>234</v>
      </c>
      <c r="C135" s="95">
        <f>'DOE25'!L263</f>
        <v>8000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0.43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140409.07999999999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-409.50999999998021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364988.13</v>
      </c>
      <c r="D144" s="141">
        <f>SUM(D130:D143)</f>
        <v>0</v>
      </c>
      <c r="E144" s="141">
        <f>SUM(E130:E143)</f>
        <v>0</v>
      </c>
      <c r="F144" s="141">
        <f>SUM(F130:F143)</f>
        <v>117378.44</v>
      </c>
      <c r="G144" s="141">
        <f>SUM(G130:G143)</f>
        <v>20300</v>
      </c>
    </row>
    <row r="145" spans="1:9" ht="12.75" thickTop="1" thickBot="1" x14ac:dyDescent="0.25">
      <c r="A145" s="33" t="s">
        <v>244</v>
      </c>
      <c r="C145" s="86">
        <f>(C115+C128+C144)</f>
        <v>8214431.2734999992</v>
      </c>
      <c r="D145" s="86">
        <f>(D115+D128+D144)</f>
        <v>174729.99</v>
      </c>
      <c r="E145" s="86">
        <f>(E115+E128+E144)</f>
        <v>128975.07000000002</v>
      </c>
      <c r="F145" s="86">
        <f>(F115+F128+F144)</f>
        <v>117378.44</v>
      </c>
      <c r="G145" s="86">
        <f>(G115+G128+G144)</f>
        <v>20300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August 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August 2023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1200000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1044000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1044000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840000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840000</v>
      </c>
    </row>
    <row r="159" spans="1:9" x14ac:dyDescent="0.2">
      <c r="A159" s="22" t="s">
        <v>35</v>
      </c>
      <c r="B159" s="137">
        <f>'DOE25'!F498</f>
        <v>960000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960000</v>
      </c>
    </row>
    <row r="160" spans="1:9" x14ac:dyDescent="0.2">
      <c r="A160" s="22" t="s">
        <v>36</v>
      </c>
      <c r="B160" s="137">
        <f>'DOE25'!F499</f>
        <v>250096.25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250096.25</v>
      </c>
    </row>
    <row r="161" spans="1:7" x14ac:dyDescent="0.2">
      <c r="A161" s="22" t="s">
        <v>37</v>
      </c>
      <c r="B161" s="137">
        <f>'DOE25'!F500</f>
        <v>1210096.25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1210096.25</v>
      </c>
    </row>
    <row r="162" spans="1:7" x14ac:dyDescent="0.2">
      <c r="A162" s="22" t="s">
        <v>38</v>
      </c>
      <c r="B162" s="137">
        <f>'DOE25'!F501</f>
        <v>85000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</v>
      </c>
    </row>
    <row r="163" spans="1:7" x14ac:dyDescent="0.2">
      <c r="A163" s="22" t="s">
        <v>39</v>
      </c>
      <c r="B163" s="137">
        <f>'DOE25'!F502</f>
        <v>49430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49430</v>
      </c>
    </row>
    <row r="164" spans="1:7" x14ac:dyDescent="0.2">
      <c r="A164" s="22" t="s">
        <v>246</v>
      </c>
      <c r="B164" s="137">
        <f>'DOE25'!F503</f>
        <v>134430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134430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NORTH HAMPTON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17055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17055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3490381</v>
      </c>
      <c r="D10" s="182">
        <f>ROUND((C10/$C$28)*100,1)</f>
        <v>43.1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1502919</v>
      </c>
      <c r="D11" s="182">
        <f>ROUND((C11/$C$28)*100,1)</f>
        <v>18.600000000000001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103477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603584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573737</v>
      </c>
      <c r="D16" s="182">
        <f t="shared" si="0"/>
        <v>7.1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268254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446593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623828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365646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53740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57069.460000000006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8089228.46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147886</v>
      </c>
    </row>
    <row r="30" spans="1:4" x14ac:dyDescent="0.2">
      <c r="B30" s="187" t="s">
        <v>729</v>
      </c>
      <c r="C30" s="180">
        <f>SUM(C28:C29)</f>
        <v>8237114.46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84000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5991851</v>
      </c>
      <c r="D35" s="182">
        <f t="shared" ref="D35:D40" si="1">ROUND((C35/$C$41)*100,1)</f>
        <v>71.7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128190.20000000019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2024093</v>
      </c>
      <c r="D37" s="182">
        <f t="shared" si="1"/>
        <v>24.2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1976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212284</v>
      </c>
      <c r="D39" s="182">
        <f t="shared" si="1"/>
        <v>2.5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8358394.2000000002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NORTH HAMPTON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2015-09-11T17:31:54Z</cp:lastPrinted>
  <dcterms:created xsi:type="dcterms:W3CDTF">1997-12-04T19:04:30Z</dcterms:created>
  <dcterms:modified xsi:type="dcterms:W3CDTF">2015-09-11T17:33:38Z</dcterms:modified>
</cp:coreProperties>
</file>