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C37" i="12"/>
  <c r="B37" i="12"/>
  <c r="C19" i="12"/>
  <c r="B19" i="12"/>
  <c r="C10" i="12"/>
  <c r="B10" i="12"/>
  <c r="H604" i="1"/>
  <c r="J604" i="1"/>
  <c r="H208" i="1"/>
  <c r="H244" i="1"/>
  <c r="H594" i="1"/>
  <c r="F582" i="1"/>
  <c r="H541" i="1"/>
  <c r="H526" i="1"/>
  <c r="H536" i="1"/>
  <c r="K533" i="1"/>
  <c r="K531" i="1"/>
  <c r="I533" i="1"/>
  <c r="I531" i="1"/>
  <c r="H533" i="1"/>
  <c r="H531" i="1"/>
  <c r="G533" i="1"/>
  <c r="G531" i="1"/>
  <c r="F533" i="1"/>
  <c r="F531" i="1"/>
  <c r="H523" i="1"/>
  <c r="H521" i="1"/>
  <c r="H528" i="1"/>
  <c r="I523" i="1"/>
  <c r="G523" i="1"/>
  <c r="F523" i="1"/>
  <c r="I521" i="1"/>
  <c r="G521" i="1"/>
  <c r="F521" i="1"/>
  <c r="H360" i="1"/>
  <c r="H358" i="1"/>
  <c r="H276" i="1"/>
  <c r="G276" i="1"/>
  <c r="I333" i="1"/>
  <c r="G333" i="1"/>
  <c r="F333" i="1"/>
  <c r="H315" i="1"/>
  <c r="H277" i="1"/>
  <c r="J314" i="1"/>
  <c r="I314" i="1"/>
  <c r="H314" i="1"/>
  <c r="G314" i="1"/>
  <c r="F314" i="1"/>
  <c r="J276" i="1"/>
  <c r="I276" i="1"/>
  <c r="F276" i="1"/>
  <c r="H240" i="1"/>
  <c r="G205" i="1"/>
  <c r="H255" i="1"/>
  <c r="K241" i="1"/>
  <c r="I241" i="1"/>
  <c r="H241" i="1"/>
  <c r="G241" i="1"/>
  <c r="F241" i="1"/>
  <c r="I239" i="1"/>
  <c r="F238" i="1"/>
  <c r="G234" i="1"/>
  <c r="F234" i="1"/>
  <c r="I234" i="1"/>
  <c r="H234" i="1"/>
  <c r="J243" i="1"/>
  <c r="I243" i="1"/>
  <c r="H243" i="1"/>
  <c r="G243" i="1"/>
  <c r="F243" i="1"/>
  <c r="G239" i="1"/>
  <c r="F239" i="1"/>
  <c r="H239" i="1"/>
  <c r="I238" i="1"/>
  <c r="H238" i="1"/>
  <c r="K238" i="1"/>
  <c r="G238" i="1"/>
  <c r="G236" i="1"/>
  <c r="F236" i="1"/>
  <c r="I236" i="1"/>
  <c r="K236" i="1"/>
  <c r="H236" i="1"/>
  <c r="H235" i="1"/>
  <c r="K233" i="1"/>
  <c r="J233" i="1"/>
  <c r="I233" i="1"/>
  <c r="H233" i="1"/>
  <c r="G233" i="1"/>
  <c r="F233" i="1"/>
  <c r="K205" i="1"/>
  <c r="I205" i="1"/>
  <c r="H205" i="1"/>
  <c r="F205" i="1"/>
  <c r="I202" i="1"/>
  <c r="F202" i="1"/>
  <c r="H198" i="1"/>
  <c r="G198" i="1"/>
  <c r="F198" i="1"/>
  <c r="I198" i="1"/>
  <c r="J207" i="1"/>
  <c r="I207" i="1"/>
  <c r="H207" i="1"/>
  <c r="G207" i="1"/>
  <c r="F207" i="1"/>
  <c r="G203" i="1"/>
  <c r="F203" i="1"/>
  <c r="I203" i="1"/>
  <c r="H203" i="1"/>
  <c r="H202" i="1"/>
  <c r="K202" i="1"/>
  <c r="G202" i="1"/>
  <c r="G200" i="1"/>
  <c r="F200" i="1"/>
  <c r="K200" i="1"/>
  <c r="I200" i="1"/>
  <c r="H200" i="1"/>
  <c r="K197" i="1"/>
  <c r="J197" i="1"/>
  <c r="I197" i="1"/>
  <c r="H197" i="1"/>
  <c r="G197" i="1"/>
  <c r="F197" i="1"/>
  <c r="J205" i="1"/>
  <c r="J203" i="1"/>
  <c r="J202" i="1"/>
  <c r="K240" i="1"/>
  <c r="G240" i="1"/>
  <c r="F240" i="1"/>
  <c r="K204" i="1"/>
  <c r="H204" i="1"/>
  <c r="G204" i="1"/>
  <c r="F204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C13" i="10" s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9" i="10"/>
  <c r="L250" i="1"/>
  <c r="L332" i="1"/>
  <c r="E113" i="2" s="1"/>
  <c r="L254" i="1"/>
  <c r="L268" i="1"/>
  <c r="L269" i="1"/>
  <c r="L349" i="1"/>
  <c r="L350" i="1"/>
  <c r="I665" i="1"/>
  <c r="I670" i="1"/>
  <c r="L229" i="1"/>
  <c r="H661" i="1"/>
  <c r="G662" i="1"/>
  <c r="H662" i="1"/>
  <c r="I669" i="1"/>
  <c r="C4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G552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F78" i="2" s="1"/>
  <c r="F81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C113" i="2"/>
  <c r="C114" i="2"/>
  <c r="D115" i="2"/>
  <c r="F115" i="2"/>
  <c r="G115" i="2"/>
  <c r="E118" i="2"/>
  <c r="E128" i="2" s="1"/>
  <c r="E119" i="2"/>
  <c r="E120" i="2"/>
  <c r="E121" i="2"/>
  <c r="C122" i="2"/>
  <c r="E122" i="2"/>
  <c r="E123" i="2"/>
  <c r="E124" i="2"/>
  <c r="C125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F461" i="1"/>
  <c r="H461" i="1"/>
  <c r="I461" i="1"/>
  <c r="H642" i="1" s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J644" i="1" s="1"/>
  <c r="G645" i="1"/>
  <c r="G650" i="1"/>
  <c r="G651" i="1"/>
  <c r="J651" i="1" s="1"/>
  <c r="G652" i="1"/>
  <c r="H652" i="1"/>
  <c r="G653" i="1"/>
  <c r="H653" i="1"/>
  <c r="G654" i="1"/>
  <c r="H654" i="1"/>
  <c r="H655" i="1"/>
  <c r="L256" i="1"/>
  <c r="C26" i="10"/>
  <c r="L351" i="1"/>
  <c r="D18" i="13"/>
  <c r="C18" i="13" s="1"/>
  <c r="D18" i="2"/>
  <c r="D31" i="2"/>
  <c r="E62" i="2"/>
  <c r="E63" i="2" s="1"/>
  <c r="G62" i="2"/>
  <c r="D19" i="13"/>
  <c r="C19" i="13" s="1"/>
  <c r="E13" i="13"/>
  <c r="C13" i="13" s="1"/>
  <c r="H112" i="1"/>
  <c r="F112" i="1"/>
  <c r="J641" i="1"/>
  <c r="J639" i="1"/>
  <c r="J571" i="1"/>
  <c r="K571" i="1"/>
  <c r="L433" i="1"/>
  <c r="L419" i="1"/>
  <c r="I169" i="1"/>
  <c r="J643" i="1"/>
  <c r="H476" i="1"/>
  <c r="H624" i="1" s="1"/>
  <c r="J624" i="1" s="1"/>
  <c r="I476" i="1"/>
  <c r="H625" i="1" s="1"/>
  <c r="J625" i="1" s="1"/>
  <c r="J140" i="1"/>
  <c r="F571" i="1"/>
  <c r="I552" i="1"/>
  <c r="K550" i="1"/>
  <c r="G22" i="2"/>
  <c r="J552" i="1"/>
  <c r="H140" i="1"/>
  <c r="L393" i="1"/>
  <c r="J634" i="1"/>
  <c r="H571" i="1"/>
  <c r="L560" i="1"/>
  <c r="F338" i="1"/>
  <c r="F352" i="1" s="1"/>
  <c r="H192" i="1"/>
  <c r="L309" i="1"/>
  <c r="E16" i="13"/>
  <c r="C16" i="13" s="1"/>
  <c r="J655" i="1"/>
  <c r="L570" i="1"/>
  <c r="I571" i="1"/>
  <c r="I545" i="1"/>
  <c r="G36" i="2"/>
  <c r="L565" i="1"/>
  <c r="C138" i="2"/>
  <c r="A40" i="12" l="1"/>
  <c r="A13" i="12"/>
  <c r="K598" i="1"/>
  <c r="G647" i="1" s="1"/>
  <c r="J647" i="1" s="1"/>
  <c r="L534" i="1"/>
  <c r="H552" i="1"/>
  <c r="H545" i="1"/>
  <c r="K551" i="1"/>
  <c r="K552" i="1" s="1"/>
  <c r="L524" i="1"/>
  <c r="K503" i="1"/>
  <c r="K500" i="1"/>
  <c r="G161" i="2"/>
  <c r="G157" i="2"/>
  <c r="F476" i="1"/>
  <c r="H622" i="1" s="1"/>
  <c r="J622" i="1" s="1"/>
  <c r="L401" i="1"/>
  <c r="C139" i="2" s="1"/>
  <c r="J645" i="1"/>
  <c r="G661" i="1"/>
  <c r="F661" i="1"/>
  <c r="L362" i="1"/>
  <c r="D29" i="13"/>
  <c r="C29" i="13" s="1"/>
  <c r="D127" i="2"/>
  <c r="D128" i="2" s="1"/>
  <c r="D145" i="2" s="1"/>
  <c r="D81" i="2"/>
  <c r="C78" i="2"/>
  <c r="F22" i="13"/>
  <c r="C22" i="13" s="1"/>
  <c r="G81" i="2"/>
  <c r="E112" i="2"/>
  <c r="H338" i="1"/>
  <c r="H352" i="1" s="1"/>
  <c r="J338" i="1"/>
  <c r="J352" i="1" s="1"/>
  <c r="G338" i="1"/>
  <c r="G352" i="1" s="1"/>
  <c r="E109" i="2"/>
  <c r="E115" i="2" s="1"/>
  <c r="L290" i="1"/>
  <c r="L338" i="1" s="1"/>
  <c r="L352" i="1" s="1"/>
  <c r="G633" i="1" s="1"/>
  <c r="J633" i="1" s="1"/>
  <c r="C29" i="10"/>
  <c r="C25" i="10"/>
  <c r="H25" i="13"/>
  <c r="C110" i="2"/>
  <c r="C16" i="10"/>
  <c r="C15" i="10"/>
  <c r="K257" i="1"/>
  <c r="K271" i="1" s="1"/>
  <c r="J257" i="1"/>
  <c r="J271" i="1" s="1"/>
  <c r="I257" i="1"/>
  <c r="I271" i="1" s="1"/>
  <c r="L247" i="1"/>
  <c r="H660" i="1" s="1"/>
  <c r="H664" i="1" s="1"/>
  <c r="C10" i="10"/>
  <c r="F257" i="1"/>
  <c r="F271" i="1" s="1"/>
  <c r="D15" i="13"/>
  <c r="C15" i="13" s="1"/>
  <c r="D12" i="13"/>
  <c r="C12" i="13" s="1"/>
  <c r="G649" i="1"/>
  <c r="J649" i="1" s="1"/>
  <c r="C124" i="2"/>
  <c r="F662" i="1"/>
  <c r="I662" i="1" s="1"/>
  <c r="C21" i="10"/>
  <c r="C20" i="10"/>
  <c r="C18" i="10"/>
  <c r="C121" i="2"/>
  <c r="C119" i="2"/>
  <c r="D7" i="13"/>
  <c r="C7" i="13" s="1"/>
  <c r="D6" i="13"/>
  <c r="C6" i="13" s="1"/>
  <c r="C118" i="2"/>
  <c r="D5" i="13"/>
  <c r="C5" i="13" s="1"/>
  <c r="C109" i="2"/>
  <c r="C115" i="2" s="1"/>
  <c r="G257" i="1"/>
  <c r="G271" i="1" s="1"/>
  <c r="C17" i="10"/>
  <c r="C120" i="2"/>
  <c r="H257" i="1"/>
  <c r="H271" i="1" s="1"/>
  <c r="C123" i="2"/>
  <c r="D14" i="13"/>
  <c r="C14" i="13" s="1"/>
  <c r="E8" i="13"/>
  <c r="C8" i="13" s="1"/>
  <c r="L211" i="1"/>
  <c r="F660" i="1" s="1"/>
  <c r="C70" i="2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L545" i="1" l="1"/>
  <c r="L408" i="1"/>
  <c r="C141" i="2"/>
  <c r="C144" i="2" s="1"/>
  <c r="G664" i="1"/>
  <c r="G667" i="1" s="1"/>
  <c r="I661" i="1"/>
  <c r="E145" i="2"/>
  <c r="D31" i="13"/>
  <c r="C31" i="13" s="1"/>
  <c r="C25" i="13"/>
  <c r="H33" i="13"/>
  <c r="H672" i="1"/>
  <c r="C6" i="10" s="1"/>
  <c r="H667" i="1"/>
  <c r="C128" i="2"/>
  <c r="C28" i="10"/>
  <c r="D22" i="10" s="1"/>
  <c r="E33" i="13"/>
  <c r="D35" i="13" s="1"/>
  <c r="F664" i="1"/>
  <c r="I660" i="1"/>
  <c r="L257" i="1"/>
  <c r="L271" i="1" s="1"/>
  <c r="G632" i="1" s="1"/>
  <c r="J632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I664" i="1"/>
  <c r="I672" i="1" s="1"/>
  <c r="C7" i="10" s="1"/>
  <c r="G672" i="1"/>
  <c r="C5" i="10" s="1"/>
  <c r="D33" i="13"/>
  <c r="D36" i="13" s="1"/>
  <c r="D23" i="10"/>
  <c r="C30" i="10"/>
  <c r="D10" i="10"/>
  <c r="D18" i="10"/>
  <c r="D12" i="10"/>
  <c r="D26" i="10"/>
  <c r="D16" i="10"/>
  <c r="D27" i="10"/>
  <c r="D17" i="10"/>
  <c r="D24" i="10"/>
  <c r="D20" i="10"/>
  <c r="D15" i="10"/>
  <c r="D25" i="10"/>
  <c r="D19" i="10"/>
  <c r="D13" i="10"/>
  <c r="D11" i="10"/>
  <c r="D21" i="10"/>
  <c r="F672" i="1"/>
  <c r="C4" i="10" s="1"/>
  <c r="F667" i="1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<sst xmlns="http://schemas.openxmlformats.org/spreadsheetml/2006/main" count="3959" uniqueCount="917">
  <si>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</si>
  <si>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</si>
  <si>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</si>
  <si>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</si>
  <si>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</si>
  <si>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</si>
  <si>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</si>
  <si>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</si>
  <si>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</si>
  <si>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</si>
  <si>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</si>
  <si>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</si>
  <si>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</si>
  <si>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</si>
  <si>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</si>
  <si>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</si>
  <si>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</si>
  <si>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</si>
  <si>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</si>
  <si>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</si>
  <si>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</si>
  <si>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</si>
  <si>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</si>
  <si>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</si>
  <si>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</si>
  <si>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</si>
  <si>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</si>
  <si>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</si>
  <si>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</si>
  <si>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</si>
  <si>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</si>
  <si>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</si>
  <si>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</si>
  <si>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</si>
  <si>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</si>
  <si>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</si>
  <si>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</si>
  <si>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</si>
  <si>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</si>
  <si>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</si>
  <si>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</si>
  <si>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</si>
  <si>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</si>
  <si>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</si>
  <si>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</si>
  <si>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</si>
  <si>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</si>
  <si>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</si>
  <si>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</si>
  <si>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</si>
  <si>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</si>
  <si>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</si>
  <si>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</si>
  <si>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</si>
  <si>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</si>
  <si>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</si>
  <si>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</si>
  <si>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</si>
  <si>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</si>
  <si>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</si>
  <si>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</si>
  <si>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</si>
  <si>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</si>
  <si>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</si>
  <si>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</si>
  <si>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</si>
  <si>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</si>
  <si>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</si>
  <si>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</si>
  <si>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</si>
  <si>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</si>
  <si>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</si>
  <si>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</si>
  <si>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</si>
  <si>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</si>
  <si>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</si>
  <si>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</si>
  <si>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</si>
  <si>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</si>
  <si>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</si>
  <si>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</si>
  <si>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</si>
  <si>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</si>
  <si>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</si>
  <si>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</si>
  <si>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</si>
  <si>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</si>
  <si>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</si>
  <si>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</si>
  <si>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</si>
  <si>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</si>
  <si>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</si>
  <si>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</si>
  <si>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</si>
  <si>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</si>
  <si>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</si>
  <si>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</si>
  <si>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</si>
  <si>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</si>
  <si>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</si>
  <si>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</si>
  <si>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</si>
  <si>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</si>
  <si>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</si>
  <si>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</si>
  <si>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</si>
  <si>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</si>
  <si>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</si>
  <si>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</si>
  <si>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</si>
  <si>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</si>
  <si>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</si>
  <si>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</si>
  <si>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</si>
  <si>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</si>
  <si>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</si>
  <si>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</si>
  <si>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</si>
  <si>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</si>
  <si>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</si>
  <si>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</si>
  <si>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</si>
  <si>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</si>
  <si>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</si>
  <si>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</si>
  <si>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</si>
  <si>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</si>
  <si>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</si>
  <si>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</si>
  <si>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</si>
  <si>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</si>
  <si>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</si>
  <si>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</si>
  <si>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</si>
  <si>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</si>
  <si>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</si>
  <si>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</si>
  <si>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</si>
  <si>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</si>
  <si>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</si>
  <si>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</si>
  <si>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</si>
  <si>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</si>
  <si>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</si>
  <si>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</si>
  <si>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</si>
  <si>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</si>
  <si>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</si>
  <si>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</si>
  <si>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</si>
  <si>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</si>
  <si>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</si>
  <si>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</si>
  <si>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</si>
  <si>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</si>
  <si>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</si>
  <si>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</si>
  <si>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</si>
  <si>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</si>
  <si>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</si>
  <si>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</si>
  <si>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</si>
  <si>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</si>
  <si>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</si>
  <si>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</si>
  <si>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</si>
  <si>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</si>
  <si>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</si>
  <si>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</si>
  <si>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</si>
  <si>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</si>
  <si>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</si>
  <si>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</si>
  <si>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</si>
  <si>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</si>
  <si>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</si>
  <si>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</si>
  <si>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</si>
  <si>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</si>
  <si>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</si>
  <si>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</si>
  <si>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</si>
  <si>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</si>
  <si>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</si>
  <si>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</si>
  <si>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</si>
  <si>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</si>
  <si>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</si>
  <si>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</si>
  <si>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</si>
  <si>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</si>
  <si>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</si>
  <si>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</si>
  <si>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</si>
  <si>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</si>
  <si>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</si>
  <si>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</si>
  <si>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</si>
  <si>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</si>
  <si>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</si>
  <si>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</si>
  <si>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</si>
  <si>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</si>
  <si>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</si>
  <si>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</si>
  <si>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</si>
  <si>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</si>
  <si>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</si>
  <si>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</si>
  <si>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</si>
  <si>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</si>
  <si>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</si>
  <si>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</si>
  <si>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</si>
  <si>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</si>
  <si>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</si>
  <si>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</si>
  <si>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</si>
  <si>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</si>
  <si>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</si>
  <si>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</si>
  <si>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</si>
  <si>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</si>
  <si>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</si>
  <si>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</si>
  <si>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</si>
  <si>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</si>
  <si>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</si>
  <si>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</si>
  <si>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</si>
  <si>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</si>
  <si>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</si>
  <si>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</si>
  <si>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</si>
  <si>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</si>
  <si>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</si>
  <si>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</si>
  <si>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</si>
  <si>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</si>
  <si>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</si>
  <si>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</si>
  <si>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</si>
  <si>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</si>
  <si>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</si>
  <si>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</si>
  <si>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</si>
  <si>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</si>
  <si>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</si>
  <si>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</si>
  <si>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</si>
  <si>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</si>
  <si>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</si>
  <si>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</si>
  <si>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</si>
  <si>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</si>
  <si>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</si>
  <si>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</si>
  <si>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</si>
  <si>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</si>
  <si>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</si>
  <si>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</si>
  <si>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</si>
  <si>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</si>
  <si>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</si>
  <si>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</si>
  <si>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</si>
  <si>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</si>
  <si>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</si>
  <si>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</si>
  <si>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</si>
  <si>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</si>
  <si>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</si>
  <si>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</si>
  <si>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</si>
  <si>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</si>
  <si>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</si>
  <si>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</si>
  <si>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</si>
  <si>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</si>
  <si>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</si>
  <si>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</si>
  <si>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</si>
  <si>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</si>
  <si>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</si>
  <si>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</si>
  <si>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</si>
  <si>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</si>
  <si>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</si>
  <si>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</si>
  <si>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</si>
  <si>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</si>
  <si>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</si>
  <si>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</si>
  <si>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</si>
  <si>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</si>
  <si>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</si>
  <si>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</si>
  <si>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</si>
  <si>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</si>
  <si>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</si>
  <si>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</si>
  <si>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</si>
  <si>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</si>
  <si>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</si>
  <si>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</si>
  <si>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</si>
  <si>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</si>
  <si>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</si>
  <si>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</si>
  <si>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</si>
  <si>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</si>
  <si>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</si>
  <si>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</si>
  <si>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</si>
  <si>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</si>
  <si>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</si>
  <si>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</si>
  <si>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</si>
  <si>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</si>
  <si>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</si>
  <si>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</si>
  <si>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</si>
  <si>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</si>
  <si>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</si>
  <si>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</si>
  <si>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</si>
  <si>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</si>
  <si>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</si>
  <si>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</si>
  <si>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</si>
  <si>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</si>
  <si>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</si>
  <si>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</si>
  <si>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</si>
  <si>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</si>
  <si>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</si>
  <si>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</si>
  <si>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</si>
  <si>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</si>
  <si>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</si>
  <si>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</si>
  <si>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</si>
  <si>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</si>
  <si>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</si>
  <si>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</si>
  <si>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</si>
  <si>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</si>
  <si>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</si>
  <si>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</si>
  <si>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</si>
  <si>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</si>
  <si>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</si>
  <si>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</si>
  <si>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</si>
  <si>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</si>
  <si>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</si>
  <si>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</si>
  <si>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</si>
  <si>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</si>
  <si>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</si>
  <si>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</si>
  <si>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</si>
  <si>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</si>
  <si>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</si>
  <si>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</si>
  <si>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</si>
  <si>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</si>
  <si>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</si>
  <si>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</si>
  <si>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</si>
  <si>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</si>
  <si>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</si>
  <si>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</si>
  <si>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</si>
  <si>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</si>
  <si>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</si>
  <si>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</si>
  <si>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</si>
  <si>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</si>
  <si>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</si>
  <si>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</si>
  <si>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</si>
  <si>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</si>
  <si>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</si>
  <si>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</si>
  <si>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</si>
  <si>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</si>
  <si>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</si>
  <si>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</si>
  <si>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</si>
  <si>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</si>
  <si>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</si>
  <si>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</si>
  <si>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</si>
  <si>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</si>
  <si>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</si>
  <si>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</si>
  <si>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</si>
  <si>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</si>
  <si>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</si>
  <si>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</si>
  <si>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</si>
  <si>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</si>
  <si>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</si>
  <si>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</si>
  <si>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</si>
  <si>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</si>
  <si>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</si>
  <si>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</si>
  <si>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</si>
  <si>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</si>
  <si>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</si>
  <si>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</si>
  <si>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</si>
  <si>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</si>
  <si>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</si>
  <si>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</si>
  <si>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</si>
  <si>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</si>
  <si>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</si>
  <si>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</si>
  <si>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</si>
  <si>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</si>
  <si>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</si>
  <si>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</si>
  <si>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</si>
  <si>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</si>
  <si>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</si>
  <si>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</si>
  <si>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</si>
  <si>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</si>
  <si>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</si>
  <si>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</si>
  <si>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</si>
  <si>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</si>
  <si>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</si>
  <si>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</si>
  <si>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</si>
  <si>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</si>
  <si>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</si>
  <si>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</si>
  <si>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</si>
  <si>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</si>
  <si>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</si>
  <si>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</si>
  <si>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</si>
  <si>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</si>
  <si>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</si>
  <si>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</si>
  <si>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</si>
  <si>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</si>
  <si>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</si>
  <si>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</si>
  <si>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</si>
  <si>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</si>
  <si>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</si>
  <si>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</si>
  <si>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</si>
  <si>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</si>
  <si>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</si>
  <si>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</si>
  <si>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</si>
  <si>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</si>
  <si>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</si>
  <si>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</si>
  <si>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</si>
  <si>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</si>
  <si>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</si>
  <si>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</si>
  <si>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</si>
  <si>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</si>
  <si>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</si>
  <si>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</si>
  <si>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</si>
  <si>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</si>
  <si>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</si>
  <si>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</si>
  <si>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</si>
  <si>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</si>
  <si>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</si>
  <si>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</si>
  <si>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</si>
  <si>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</si>
  <si>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</si>
  <si>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</si>
  <si>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</si>
  <si>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</si>
  <si>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</si>
  <si>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</si>
  <si>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</si>
  <si>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</si>
  <si>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</si>
  <si>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</si>
  <si>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</si>
  <si>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</si>
  <si>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</si>
  <si>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</si>
  <si>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</si>
  <si>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</si>
  <si>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</si>
  <si>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</si>
  <si>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</si>
  <si>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</si>
  <si>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</si>
  <si>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</si>
  <si>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</si>
  <si>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</si>
  <si>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</si>
  <si>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</si>
  <si>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</si>
  <si>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</si>
  <si>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</si>
  <si>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</si>
  <si>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</si>
  <si>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</si>
  <si>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</si>
  <si>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</si>
  <si>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</si>
  <si>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</si>
  <si>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</si>
  <si>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</si>
  <si>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</si>
  <si>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</si>
  <si>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</si>
  <si>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</si>
  <si>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</si>
  <si>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</si>
  <si>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</si>
  <si>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</si>
  <si>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</si>
  <si>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</si>
  <si>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</si>
  <si>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</si>
  <si>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</si>
  <si>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</si>
  <si>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</si>
  <si>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</si>
  <si>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</si>
  <si>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</si>
  <si>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</si>
  <si>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</si>
  <si>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</si>
  <si>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</si>
  <si>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</si>
  <si>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</si>
  <si>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</si>
  <si>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</si>
  <si>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</si>
  <si>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</si>
  <si>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</si>
  <si>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</si>
  <si>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</si>
  <si>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</si>
  <si>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</si>
  <si>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</si>
  <si>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</si>
  <si>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</si>
  <si>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</si>
  <si>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</si>
  <si>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</si>
  <si>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</si>
  <si>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</si>
  <si>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</si>
  <si>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</si>
  <si>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</si>
  <si>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</si>
  <si>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</si>
  <si>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</si>
  <si>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</si>
  <si>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</si>
  <si>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</si>
  <si>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</si>
  <si>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</si>
  <si>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</si>
  <si>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</si>
  <si>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</si>
  <si>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</si>
  <si>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</si>
  <si>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</si>
  <si>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</si>
  <si>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</si>
  <si>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</si>
  <si>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</si>
  <si>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</si>
  <si>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</si>
  <si>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</si>
  <si>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</si>
  <si>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</si>
  <si>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</si>
  <si>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</si>
  <si>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</si>
  <si>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</si>
  <si>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</si>
  <si>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</si>
  <si>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</si>
  <si>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</si>
  <si>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</si>
  <si>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</si>
  <si>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</si>
  <si>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</si>
  <si>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</si>
  <si>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</si>
  <si>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</si>
  <si>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</si>
  <si>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</si>
  <si>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</si>
  <si>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</si>
  <si>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</si>
  <si>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</si>
  <si>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</si>
  <si>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</si>
  <si>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</si>
  <si>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</si>
  <si>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</si>
  <si>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</si>
  <si>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</si>
  <si>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</si>
  <si>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</si>
  <si>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</si>
  <si>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</si>
  <si>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</si>
  <si>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</si>
  <si>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</si>
  <si>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</si>
  <si>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</si>
  <si>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</si>
  <si>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</si>
  <si>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</si>
  <si>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</si>
  <si>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</si>
  <si>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</si>
  <si>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</si>
  <si>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</si>
  <si>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</si>
  <si>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</si>
  <si>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</si>
  <si>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</si>
  <si>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</si>
  <si>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</si>
  <si>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</si>
  <si>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</si>
  <si>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</si>
  <si>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</si>
  <si>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</si>
  <si>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</si>
  <si>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</si>
  <si>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</si>
  <si>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</si>
  <si>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</si>
  <si>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</si>
  <si>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</si>
  <si>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</si>
  <si>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</si>
  <si>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</si>
  <si>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</si>
  <si>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</si>
  <si>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</si>
  <si>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</si>
  <si>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</si>
  <si>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</si>
  <si>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</si>
  <si>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</si>
  <si>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</si>
  <si>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</si>
  <si>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</si>
  <si>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</si>
  <si>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</si>
  <si>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</si>
  <si>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</si>
  <si>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</si>
  <si>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</si>
  <si>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</si>
  <si>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</si>
  <si>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</si>
  <si>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</si>
  <si>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</si>
  <si>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</si>
  <si>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</si>
  <si>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</si>
  <si>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</si>
  <si>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</si>
  <si>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</si>
  <si>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</si>
  <si>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</si>
  <si>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</si>
  <si>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</si>
  <si>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</si>
  <si>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</si>
  <si>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</si>
  <si>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</si>
  <si>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</si>
  <si>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</si>
  <si>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</si>
  <si>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</si>
  <si>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</si>
  <si>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</si>
  <si>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</si>
  <si>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</si>
  <si>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</si>
  <si>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</si>
  <si>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</si>
  <si>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</si>
  <si>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</si>
  <si>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</si>
  <si>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</si>
  <si>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</si>
  <si>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</si>
  <si>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</si>
  <si>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</si>
  <si>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</si>
  <si>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</si>
  <si>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</si>
  <si>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</si>
  <si>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</si>
  <si>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</si>
  <si>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</si>
  <si>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</si>
  <si>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</si>
  <si>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</si>
  <si>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</si>
  <si>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</si>
  <si>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</si>
  <si>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</si>
  <si>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</si>
  <si>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</si>
  <si>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</si>
  <si>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</si>
  <si>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</si>
  <si>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</si>
  <si>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</si>
  <si>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</si>
  <si>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</si>
  <si>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</si>
  <si>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</si>
  <si>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</si>
  <si>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</si>
  <si>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</si>
  <si>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</si>
  <si>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</si>
  <si>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</si>
  <si>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</si>
  <si>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</si>
  <si>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</si>
  <si>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</si>
  <si>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</si>
  <si>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</si>
  <si>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</si>
  <si>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</si>
  <si>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</si>
  <si>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</si>
  <si>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</si>
  <si>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</si>
  <si>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</si>
  <si>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</si>
  <si>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</si>
  <si>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</si>
  <si>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</si>
  <si>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</si>
  <si>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</si>
  <si>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</si>
  <si>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</si>
  <si>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</si>
  <si>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</si>
  <si>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</si>
  <si>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</si>
  <si>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</si>
  <si>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</si>
  <si>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</si>
  <si>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</si>
  <si>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</si>
  <si>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</si>
  <si>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</si>
  <si>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</si>
  <si>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</si>
  <si>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</si>
  <si>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</si>
  <si>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</si>
  <si>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</si>
  <si>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</si>
  <si>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</si>
  <si>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</si>
  <si>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</si>
  <si>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</si>
  <si>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</si>
  <si>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</si>
  <si>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</si>
  <si>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</si>
  <si>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</si>
  <si>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</si>
  <si>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</si>
  <si>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</si>
  <si>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</si>
  <si>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</si>
  <si>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</si>
  <si>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</si>
  <si>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</si>
  <si>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</si>
  <si>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</si>
  <si>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</si>
  <si>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</si>
  <si>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</si>
  <si>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</si>
  <si>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</si>
  <si>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</si>
  <si>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</si>
  <si>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</si>
  <si>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</si>
  <si>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</si>
  <si>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</si>
  <si>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</si>
  <si>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</si>
  <si>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</si>
  <si>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</si>
  <si>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</si>
  <si>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</si>
  <si>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</si>
  <si>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</si>
  <si>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</si>
  <si>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</si>
  <si>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</si>
  <si>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</si>
  <si>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</si>
  <si>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</si>
  <si>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</si>
  <si>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</si>
  <si>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</si>
  <si>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</si>
  <si>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</si>
  <si>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</si>
  <si>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</si>
  <si>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</si>
  <si>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</si>
  <si>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</si>
  <si>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</si>
  <si>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</si>
  <si>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</si>
  <si>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</si>
  <si>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</si>
  <si>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</si>
  <si>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</si>
  <si>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</si>
  <si>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</si>
  <si>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</si>
  <si>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</si>
  <si>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</si>
  <si>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</si>
  <si>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</si>
  <si>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</si>
  <si>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</si>
  <si>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</si>
  <si>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</si>
  <si>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</si>
  <si>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</si>
  <si>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</si>
  <si>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</si>
  <si>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</si>
  <si>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</si>
  <si>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</si>
  <si>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</si>
  <si>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</si>
  <si>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</si>
  <si>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</si>
  <si>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</si>
  <si>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</si>
  <si>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</si>
  <si>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</si>
  <si>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</si>
  <si>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</si>
  <si>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</si>
  <si>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</si>
  <si>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</si>
  <si>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</si>
  <si>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</si>
  <si>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</si>
  <si>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</si>
  <si>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</si>
  <si>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</si>
  <si>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</si>
  <si>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</si>
  <si>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</si>
  <si>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</si>
  <si>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</si>
  <si>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</si>
  <si>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</si>
  <si>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</si>
  <si>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</si>
  <si>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</si>
  <si>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</si>
  <si>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</si>
  <si>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</si>
  <si>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</si>
  <si>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</si>
  <si>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</si>
  <si>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</si>
  <si>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</si>
  <si>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</si>
  <si>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</si>
  <si>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</si>
  <si>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</si>
  <si>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</si>
  <si>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</si>
  <si>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</si>
  <si>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</si>
  <si>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</si>
  <si>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</si>
  <si>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</si>
  <si>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</si>
  <si>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</si>
  <si>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</si>
  <si>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</si>
  <si>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</si>
  <si>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NORTHUMBERLAND</t>
  </si>
  <si>
    <t>06/01</t>
  </si>
  <si>
    <t>06/15</t>
  </si>
  <si>
    <t>09/10</t>
  </si>
  <si>
    <t>09/20</t>
  </si>
  <si>
    <t>Health Trust health and dental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</si>
</sst>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407</v>
      </c>
      <c r="C2" s="21">
        <v>407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-106703.08+350089.19</f>
        <v>243386.11</v>
      </c>
      <c r="G9" s="18"/>
      <c r="H9" s="18"/>
      <c r="I9" s="18"/>
      <c r="J9" s="67">
        <f>SUM(I439)</f>
        <v>253391.29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40856.67+5863.32</f>
        <v>46719.99</v>
      </c>
      <c r="G12" s="18">
        <v>0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5863.32</v>
      </c>
      <c r="H14" s="18">
        <v>40856.67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290106.09999999998</v>
      </c>
      <c r="G19" s="41">
        <f>SUM(G9:G18)</f>
        <v>5863.32</v>
      </c>
      <c r="H19" s="41">
        <f>SUM(H9:H18)</f>
        <v>40856.67</v>
      </c>
      <c r="I19" s="41">
        <f>SUM(I9:I18)</f>
        <v>0</v>
      </c>
      <c r="J19" s="41">
        <f>SUM(J9:J18)</f>
        <v>253391.29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5863.32</v>
      </c>
      <c r="H22" s="18">
        <v>40856.67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21752.959999999999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21752.959999999999</v>
      </c>
      <c r="G32" s="41">
        <f>SUM(G22:G31)</f>
        <v>5863.32</v>
      </c>
      <c r="H32" s="41">
        <f>SUM(H22:H31)</f>
        <v>40856.67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253391.29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40216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153137.14000000001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268353.14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253391.29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290106.10000000003</v>
      </c>
      <c r="G52" s="41">
        <f>G51+G32</f>
        <v>5863.32</v>
      </c>
      <c r="H52" s="41">
        <f>H51+H32</f>
        <v>40856.67</v>
      </c>
      <c r="I52" s="41">
        <f>I51+I32</f>
        <v>0</v>
      </c>
      <c r="J52" s="41">
        <f>J51+J32</f>
        <v>253391.29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1398519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1398519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719971.97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185774.85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905746.82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1772.37</v>
      </c>
      <c r="G96" s="18"/>
      <c r="H96" s="18"/>
      <c r="I96" s="18"/>
      <c r="J96" s="18">
        <v>54.29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67543.55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70022.039999999994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31003.83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112798.23999999999</v>
      </c>
      <c r="G111" s="41">
        <f>SUM(G96:G110)</f>
        <v>67543.55</v>
      </c>
      <c r="H111" s="41">
        <f>SUM(H96:H110)</f>
        <v>0</v>
      </c>
      <c r="I111" s="41">
        <f>SUM(I96:I110)</f>
        <v>0</v>
      </c>
      <c r="J111" s="41">
        <f>SUM(J96:J110)</f>
        <v>54.29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2417064.0599999996</v>
      </c>
      <c r="G112" s="41">
        <f>G60+G111</f>
        <v>67543.55</v>
      </c>
      <c r="H112" s="41">
        <f>H60+H79+H94+H111</f>
        <v>0</v>
      </c>
      <c r="I112" s="41">
        <f>I60+I111</f>
        <v>0</v>
      </c>
      <c r="J112" s="41">
        <f>J60+J111</f>
        <v>54.29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2579479.2999999998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210139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2789618.3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20571.419999999998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13967.6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2294.06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34539.019999999997</v>
      </c>
      <c r="G136" s="41">
        <f>SUM(G123:G135)</f>
        <v>2294.06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2824157.32</v>
      </c>
      <c r="G140" s="41">
        <f>G121+SUM(G136:G137)</f>
        <v>2294.06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181453.01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79273.279999999999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96326.76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99315.92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30124.54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30124.54</v>
      </c>
      <c r="G162" s="41">
        <f>SUM(G150:G161)</f>
        <v>96326.76</v>
      </c>
      <c r="H162" s="41">
        <f>SUM(H150:H161)</f>
        <v>360042.21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363.19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30487.73</v>
      </c>
      <c r="G169" s="41">
        <f>G147+G162+SUM(G163:G168)</f>
        <v>96326.76</v>
      </c>
      <c r="H169" s="41">
        <f>H147+H162+SUM(H163:H168)</f>
        <v>360042.21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5248.99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5248.99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11937.66</v>
      </c>
      <c r="H179" s="18"/>
      <c r="I179" s="18"/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11937.66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63000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63000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68248.990000000005</v>
      </c>
      <c r="G192" s="41">
        <f>G183+SUM(G188:G191)</f>
        <v>11937.66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5339958.0999999996</v>
      </c>
      <c r="G193" s="47">
        <f>G112+G140+G169+G192</f>
        <v>178102.03</v>
      </c>
      <c r="H193" s="47">
        <f>H112+H140+H169+H192</f>
        <v>360042.21</v>
      </c>
      <c r="I193" s="47">
        <f>I112+I140+I169+I192</f>
        <v>0</v>
      </c>
      <c r="J193" s="47">
        <f>J112+J140+J192</f>
        <v>54.29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393250.34+15851+24690.47+10737.88+386635.93+5625+7604.88+4865</f>
        <v>849260.50000000012</v>
      </c>
      <c r="G197" s="18">
        <f>100123.19+2452.29+233.28+32674.81+54541.88+6623.61+345.6+3883.46+1110.27+236+109876.06+1955.26+149.04+30263.82+55241.57+2478.66+1720.8+2354.97+875.04+55.04</f>
        <v>407194.64999999985</v>
      </c>
      <c r="H197" s="18">
        <f>189+2437.84+3042.12+145.99+150+175+1455.06+2329.25+346.76+118.22</f>
        <v>10389.24</v>
      </c>
      <c r="I197" s="18">
        <f>16379.05+787.49+11797.95+360.31+2183.99+6981.83+119.12+656.79+1056+248.92</f>
        <v>40571.450000000004</v>
      </c>
      <c r="J197" s="18">
        <f>528.21+464.98+5390.06+1308.47+1101.1+5150.86</f>
        <v>13943.68</v>
      </c>
      <c r="K197" s="18">
        <f>190</f>
        <v>190</v>
      </c>
      <c r="L197" s="19">
        <f>SUM(F197:K197)</f>
        <v>1321549.5199999998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96291.5+79210.3+4640+6000+5907.05+17841.02+54896.38+5916.01+960+4035+1275+8164.61</f>
        <v>285136.86999999994</v>
      </c>
      <c r="G198" s="18">
        <f>23045.8+500.99+14544.61+14178.66+400+1000+1976.32+334.05+1364.92+354.88+46.46+15721.23+283.87+5081.74+7909.34+600+749.28+164.69+624.67+162.4+32.21</f>
        <v>89076.12</v>
      </c>
      <c r="H198" s="18">
        <f>1505+10078.01+4796+21707.01+2179.98+19769.54+139142.8+174</f>
        <v>199352.34</v>
      </c>
      <c r="I198" s="18">
        <f>240.67+312.83+131.84+572.64</f>
        <v>1257.98</v>
      </c>
      <c r="J198" s="18"/>
      <c r="K198" s="18"/>
      <c r="L198" s="19">
        <f>SUM(F198:K198)</f>
        <v>574823.30999999994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8599.88+8437.92-167.13</f>
        <v>16870.669999999998</v>
      </c>
      <c r="G200" s="18">
        <f>657.63+73.16+161.11+27.28+640+26.78+385.66+161.11+35.3-18.31-20.14</f>
        <v>2129.5800000000004</v>
      </c>
      <c r="H200" s="18">
        <f>2840+1975</f>
        <v>4815</v>
      </c>
      <c r="I200" s="18">
        <f>226.05+2609.8</f>
        <v>2835.8500000000004</v>
      </c>
      <c r="J200" s="18"/>
      <c r="K200" s="18">
        <f>790+290</f>
        <v>1080</v>
      </c>
      <c r="L200" s="19">
        <f>SUM(F200:K200)</f>
        <v>27731.1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55220.62+5999.91+16313.4+9164.31+4095+8884.92</f>
        <v>99678.159999999989</v>
      </c>
      <c r="G202" s="18">
        <f>-635.12+281.2+4657.51+7827.14+232.73+105.6+130.12+2262.34+990.93+2309.86+252.62+63.96</f>
        <v>18478.89</v>
      </c>
      <c r="H202" s="18">
        <f>44398.56+110+28819.36+698.82+84.6+783.75+16185.9</f>
        <v>91080.99</v>
      </c>
      <c r="I202" s="18">
        <f>288.3+321.02+671.3+443.31+23.97+438.44+505.5+140.87</f>
        <v>2832.7099999999996</v>
      </c>
      <c r="J202" s="18">
        <f>762.27</f>
        <v>762.27</v>
      </c>
      <c r="K202" s="18">
        <f>110</f>
        <v>110</v>
      </c>
      <c r="L202" s="19">
        <f t="shared" ref="L202:L208" si="0">SUM(F202:K202)</f>
        <v>212943.01999999996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18713.49+13563.21+7016.63+11955.83+5613.3</f>
        <v>56862.460000000006</v>
      </c>
      <c r="G203" s="18">
        <f>6686.82+97.39+2469.41+2649.89+360+406+80.08+536.8+105.26+13.14+4272.1+62.34+914.67+1692.9+230+81.2+31.83+429.45+81.2+10.14</f>
        <v>21210.620000000003</v>
      </c>
      <c r="H203" s="18">
        <f>1115+682+599.04+395+611.77</f>
        <v>3402.81</v>
      </c>
      <c r="I203" s="18">
        <f>495.98+470.41+1574.79+212.5+209.9+1447+1301.58</f>
        <v>5712.16</v>
      </c>
      <c r="J203" s="18">
        <f>100</f>
        <v>100</v>
      </c>
      <c r="K203" s="18"/>
      <c r="L203" s="19">
        <f t="shared" si="0"/>
        <v>87288.050000000017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2502</f>
        <v>2502</v>
      </c>
      <c r="G204" s="18">
        <f>189.09</f>
        <v>189.09</v>
      </c>
      <c r="H204" s="18">
        <f>1611.5+7162+6096.28+196381.76</f>
        <v>211251.54</v>
      </c>
      <c r="I204" s="18"/>
      <c r="J204" s="18"/>
      <c r="K204" s="18">
        <f>2495.75</f>
        <v>2495.75</v>
      </c>
      <c r="L204" s="19">
        <f t="shared" si="0"/>
        <v>216438.38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67999.88+33567.87+1053+17878.15+7182.31+1603.2+32653.12+12000.04+15107.48+3959.92+38.75+11422.15+5840.59+1302.54</f>
        <v>211609.00000000003</v>
      </c>
      <c r="G205" s="18">
        <f>18574.4+567.49+7826.55+3615.23+9312.36+622.97+266.2+4930.49+130.29+2078.81+638.06+2523.75+64.62+21.55+9288.45+334.63+4816.35+1598.93+6486.94+1785.24+326.95+157.94+4011.6+91.83+1445.17+764.43+1648.31+69.18+21.66</f>
        <v>84020.37999999999</v>
      </c>
      <c r="H205" s="18">
        <f>300+996.05+215.54+344.16+254.45+431.87+448+500.04+124.21+248.69</f>
        <v>3863.0099999999998</v>
      </c>
      <c r="I205" s="18">
        <f>899.79+445.88+8948.83+439.32+241.92+6485.26+300</f>
        <v>17761</v>
      </c>
      <c r="J205" s="18">
        <f>249.99</f>
        <v>249.99</v>
      </c>
      <c r="K205" s="18">
        <f>2558.14+779.68+1404.87+734.83</f>
        <v>5477.5199999999995</v>
      </c>
      <c r="L205" s="19">
        <f t="shared" si="0"/>
        <v>322980.90000000002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38933.78+7786.78+878.86+1144+29905.7+3018.21+529.19+1688.41</f>
        <v>83884.930000000008</v>
      </c>
      <c r="G207" s="18">
        <f>15714.06+204.71+3669.19+4316.41+560.67+514.69+12534.66+152.15+2688.1+3402.67+370+391.07</f>
        <v>44518.38</v>
      </c>
      <c r="H207" s="18">
        <f>313.75+2469.14+4320.5+4350+22840.44+7046.64+1102.35+6.09+1189.28+1537.2+21518.63+4502.02+942.17+3.89</f>
        <v>72142.099999999991</v>
      </c>
      <c r="I207" s="18">
        <f>8700.76+14265.88+2218.04+20122.9+7616.82+11439.4+490.82+20108.43</f>
        <v>84963.05</v>
      </c>
      <c r="J207" s="18">
        <f>3408.23</f>
        <v>3408.23</v>
      </c>
      <c r="K207" s="18"/>
      <c r="L207" s="19">
        <f t="shared" si="0"/>
        <v>288916.68999999994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54763+3520.55+600+4702.04+2000+23941.4</f>
        <v>89526.989999999991</v>
      </c>
      <c r="I208" s="18"/>
      <c r="J208" s="18"/>
      <c r="K208" s="18"/>
      <c r="L208" s="19">
        <f t="shared" si="0"/>
        <v>89526.989999999991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1605804.5899999999</v>
      </c>
      <c r="G211" s="41">
        <f t="shared" si="1"/>
        <v>666817.70999999985</v>
      </c>
      <c r="H211" s="41">
        <f t="shared" si="1"/>
        <v>685824.02</v>
      </c>
      <c r="I211" s="41">
        <f t="shared" si="1"/>
        <v>155934.20000000001</v>
      </c>
      <c r="J211" s="41">
        <f t="shared" si="1"/>
        <v>18464.170000000002</v>
      </c>
      <c r="K211" s="41">
        <f t="shared" si="1"/>
        <v>9353.27</v>
      </c>
      <c r="L211" s="41">
        <f t="shared" si="1"/>
        <v>3142197.959999999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547696.72+6025+940.74+18059.67+10465</f>
        <v>583187.13</v>
      </c>
      <c r="G233" s="18">
        <f>103720.77+2887.52+265.68+44062.09+77882.97+2897.7+393.6+3821.07+1407.23+90.46</f>
        <v>237429.09000000003</v>
      </c>
      <c r="H233" s="18">
        <f>581.43+1525.33+4141.01+341.2+343.16</f>
        <v>6932.13</v>
      </c>
      <c r="I233" s="18">
        <f>19591.79+1677.21+5423.96+1333.71+1202.1</f>
        <v>29228.769999999997</v>
      </c>
      <c r="J233" s="18">
        <f>1147.12+2143.39+5083.47+889.67+176.9</f>
        <v>9440.5499999999993</v>
      </c>
      <c r="K233" s="18">
        <f>4629.2</f>
        <v>4629.2</v>
      </c>
      <c r="L233" s="19">
        <f>SUM(F233:K233)</f>
        <v>870846.87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91459.87+500+52942.98+1821.31+4233.46</f>
        <v>150957.62</v>
      </c>
      <c r="G234" s="18">
        <f>10368.5+405.81+11101.72+12527.14+189.99+39.49+215.69+323.77+84.21</f>
        <v>35256.319999999992</v>
      </c>
      <c r="H234" s="18">
        <f>8046.03+51064.71</f>
        <v>59110.74</v>
      </c>
      <c r="I234" s="18">
        <f>875.42</f>
        <v>875.42</v>
      </c>
      <c r="J234" s="18"/>
      <c r="K234" s="18"/>
      <c r="L234" s="19">
        <f>SUM(F234:K234)</f>
        <v>246200.1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37296.84</f>
        <v>37296.839999999997</v>
      </c>
      <c r="I235" s="18"/>
      <c r="J235" s="18"/>
      <c r="K235" s="18"/>
      <c r="L235" s="19">
        <f>SUM(F235:K235)</f>
        <v>37296.839999999997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31005.2-227.68</f>
        <v>30777.52</v>
      </c>
      <c r="G236" s="18">
        <f>2352.96+40.16+2204.94+483.34+125.16-11.9-35.78</f>
        <v>5158.88</v>
      </c>
      <c r="H236" s="18">
        <f>11177+555.56+858.32</f>
        <v>12590.88</v>
      </c>
      <c r="I236" s="18">
        <f>3765.11+362.5</f>
        <v>4127.6100000000006</v>
      </c>
      <c r="J236" s="18"/>
      <c r="K236" s="18">
        <f>2645</f>
        <v>2645</v>
      </c>
      <c r="L236" s="19">
        <f>SUM(F236:K236)</f>
        <v>55299.89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29001.42+12655.29+6405+6746.72</f>
        <v>54808.43</v>
      </c>
      <c r="G238" s="18">
        <f>207.77+3676.49+1359.08+4106.67+348.86+88.32</f>
        <v>9787.19</v>
      </c>
      <c r="H238" s="18">
        <f>698.83+1049.7+28777.19</f>
        <v>30525.719999999998</v>
      </c>
      <c r="I238" s="18">
        <f>402.3</f>
        <v>402.3</v>
      </c>
      <c r="J238" s="18"/>
      <c r="K238" s="18">
        <f>99</f>
        <v>99</v>
      </c>
      <c r="L238" s="19">
        <f t="shared" ref="L238:L244" si="4">SUM(F238:K238)</f>
        <v>95622.64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21312.68+7417.57</f>
        <v>28730.25</v>
      </c>
      <c r="G239" s="18">
        <f>7615.3+111.06+1630.25+3017.82+410+114.28+44.8+567.39+114.28+14.27</f>
        <v>13639.45</v>
      </c>
      <c r="H239" s="18">
        <f>1858.76+1250</f>
        <v>3108.76</v>
      </c>
      <c r="I239" s="18">
        <f>294.45+3707.78+2443+224</f>
        <v>6669.23</v>
      </c>
      <c r="J239" s="18"/>
      <c r="K239" s="18"/>
      <c r="L239" s="19">
        <f t="shared" si="4"/>
        <v>52147.69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1888</f>
        <v>1888</v>
      </c>
      <c r="G240" s="18">
        <f>143</f>
        <v>143</v>
      </c>
      <c r="H240" s="18">
        <f>1215+5403+4599+148147</f>
        <v>159364</v>
      </c>
      <c r="I240" s="18"/>
      <c r="J240" s="18"/>
      <c r="K240" s="18">
        <f>1882</f>
        <v>1882</v>
      </c>
      <c r="L240" s="19">
        <f t="shared" si="4"/>
        <v>163277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57471.98+16500.12+21219.76+5460.1+589+20361.24+7677.64+1714.17</f>
        <v>130994.01000000001</v>
      </c>
      <c r="G241" s="18">
        <f>12998.88+523.66+7647.88+2246.55+10591.6+3173.76+456.7+218.56+5269.51+145.04+2320.78+826.89+2860.1+62.39+21.39</f>
        <v>49363.689999999995</v>
      </c>
      <c r="H241" s="18">
        <f>436.24+599.54+263.89+425.83</f>
        <v>1725.5</v>
      </c>
      <c r="I241" s="18">
        <f>446.57+8165.42+361.68</f>
        <v>8973.67</v>
      </c>
      <c r="J241" s="18"/>
      <c r="K241" s="18">
        <f>2063.94+773.34</f>
        <v>2837.28</v>
      </c>
      <c r="L241" s="19">
        <f t="shared" si="4"/>
        <v>193894.15000000002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42345.08+4805.45+1030.12+2409.23</f>
        <v>50589.880000000005</v>
      </c>
      <c r="G243" s="18">
        <f>17842.96+216.42+3870.36+4820.12+506.45+536.25</f>
        <v>27792.559999999998</v>
      </c>
      <c r="H243" s="18">
        <f>234+1863+2114.28+2732.8+38264.28+8025.34+1833.56+6.94</f>
        <v>55074.2</v>
      </c>
      <c r="I243" s="18">
        <f>11278.8+20336.74+872.61+35749.54</f>
        <v>68237.69</v>
      </c>
      <c r="J243" s="18">
        <f>6935.58</f>
        <v>6935.58</v>
      </c>
      <c r="K243" s="18"/>
      <c r="L243" s="19">
        <f t="shared" si="4"/>
        <v>208629.91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41313+48038+10905.9+2065.8</f>
        <v>102322.7</v>
      </c>
      <c r="I244" s="18"/>
      <c r="J244" s="18"/>
      <c r="K244" s="18"/>
      <c r="L244" s="19">
        <f t="shared" si="4"/>
        <v>102322.7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1031932.8400000001</v>
      </c>
      <c r="G247" s="41">
        <f t="shared" si="5"/>
        <v>378570.18000000005</v>
      </c>
      <c r="H247" s="41">
        <f t="shared" si="5"/>
        <v>468051.47000000003</v>
      </c>
      <c r="I247" s="41">
        <f t="shared" si="5"/>
        <v>118514.69</v>
      </c>
      <c r="J247" s="41">
        <f t="shared" si="5"/>
        <v>16376.13</v>
      </c>
      <c r="K247" s="41">
        <f t="shared" si="5"/>
        <v>12092.480000000001</v>
      </c>
      <c r="L247" s="41">
        <f t="shared" si="5"/>
        <v>2025537.7899999996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21240+37760+67570</f>
        <v>126570</v>
      </c>
      <c r="I255" s="18"/>
      <c r="J255" s="18"/>
      <c r="K255" s="18"/>
      <c r="L255" s="19">
        <f t="shared" si="6"/>
        <v>126570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126570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126570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2637737.4299999997</v>
      </c>
      <c r="G257" s="41">
        <f t="shared" si="8"/>
        <v>1045387.8899999999</v>
      </c>
      <c r="H257" s="41">
        <f t="shared" si="8"/>
        <v>1280445.49</v>
      </c>
      <c r="I257" s="41">
        <f t="shared" si="8"/>
        <v>274448.89</v>
      </c>
      <c r="J257" s="41">
        <f t="shared" si="8"/>
        <v>34840.300000000003</v>
      </c>
      <c r="K257" s="41">
        <f t="shared" si="8"/>
        <v>21445.75</v>
      </c>
      <c r="L257" s="41">
        <f t="shared" si="8"/>
        <v>5294305.7499999981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48571.41</v>
      </c>
      <c r="L260" s="19">
        <f>SUM(F260:K260)</f>
        <v>48571.41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5659.5</v>
      </c>
      <c r="L261" s="19">
        <f>SUM(F261:K261)</f>
        <v>5659.5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11937.66</v>
      </c>
      <c r="L263" s="19">
        <f>SUM(F263:K263)</f>
        <v>11937.66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28795</v>
      </c>
      <c r="L268" s="19">
        <f t="shared" si="9"/>
        <v>28795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94963.57</v>
      </c>
      <c r="L270" s="41">
        <f t="shared" si="9"/>
        <v>94963.57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2637737.4299999997</v>
      </c>
      <c r="G271" s="42">
        <f t="shared" si="11"/>
        <v>1045387.8899999999</v>
      </c>
      <c r="H271" s="42">
        <f t="shared" si="11"/>
        <v>1280445.49</v>
      </c>
      <c r="I271" s="42">
        <f t="shared" si="11"/>
        <v>274448.89</v>
      </c>
      <c r="J271" s="42">
        <f t="shared" si="11"/>
        <v>34840.300000000003</v>
      </c>
      <c r="K271" s="42">
        <f t="shared" si="11"/>
        <v>116409.32</v>
      </c>
      <c r="L271" s="42">
        <f t="shared" si="11"/>
        <v>5389269.3199999984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144666.65</f>
        <v>144666.65</v>
      </c>
      <c r="G276" s="18">
        <f>16166.51+435+10907.4+15353.65</f>
        <v>42862.560000000005</v>
      </c>
      <c r="H276" s="18">
        <f>2375+1750+2381.19</f>
        <v>6506.1900000000005</v>
      </c>
      <c r="I276" s="18">
        <f>513.28+4219.85+10941</f>
        <v>15674.130000000001</v>
      </c>
      <c r="J276" s="18">
        <f>794+877</f>
        <v>1671</v>
      </c>
      <c r="K276" s="18"/>
      <c r="L276" s="19">
        <f>SUM(F276:K276)</f>
        <v>211380.53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36192.69+12064.23+39059+10000</f>
        <v>97315.92</v>
      </c>
      <c r="I277" s="18"/>
      <c r="J277" s="18"/>
      <c r="K277" s="18"/>
      <c r="L277" s="19">
        <f>SUM(F277:K277)</f>
        <v>97315.92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144666.65</v>
      </c>
      <c r="G290" s="42">
        <f t="shared" si="13"/>
        <v>42862.560000000005</v>
      </c>
      <c r="H290" s="42">
        <f t="shared" si="13"/>
        <v>103822.11</v>
      </c>
      <c r="I290" s="42">
        <f t="shared" si="13"/>
        <v>15674.130000000001</v>
      </c>
      <c r="J290" s="42">
        <f t="shared" si="13"/>
        <v>1671</v>
      </c>
      <c r="K290" s="42">
        <f t="shared" si="13"/>
        <v>0</v>
      </c>
      <c r="L290" s="41">
        <f t="shared" si="13"/>
        <v>308696.45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24912.81</f>
        <v>24912.81</v>
      </c>
      <c r="G314" s="18">
        <f>1905.96+932.39</f>
        <v>2838.35</v>
      </c>
      <c r="H314" s="18">
        <f>3070.45</f>
        <v>3070.45</v>
      </c>
      <c r="I314" s="18">
        <f>489.3</f>
        <v>489.3</v>
      </c>
      <c r="J314" s="18">
        <f>0+7027.02</f>
        <v>7027.02</v>
      </c>
      <c r="K314" s="18"/>
      <c r="L314" s="19">
        <f>SUM(F314:K314)</f>
        <v>38337.93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2000</f>
        <v>2000</v>
      </c>
      <c r="I315" s="18"/>
      <c r="J315" s="18"/>
      <c r="K315" s="18"/>
      <c r="L315" s="19">
        <f>SUM(F315:K315)</f>
        <v>2000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4"/>
      <c r="G317" s="4"/>
      <c r="H317" s="4"/>
      <c r="I317" s="4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24912.81</v>
      </c>
      <c r="G328" s="42">
        <f t="shared" si="17"/>
        <v>2838.35</v>
      </c>
      <c r="H328" s="42">
        <f t="shared" si="17"/>
        <v>5070.45</v>
      </c>
      <c r="I328" s="42">
        <f t="shared" si="17"/>
        <v>489.3</v>
      </c>
      <c r="J328" s="42">
        <f t="shared" si="17"/>
        <v>7027.02</v>
      </c>
      <c r="K328" s="42">
        <f t="shared" si="17"/>
        <v>0</v>
      </c>
      <c r="L328" s="41">
        <f t="shared" si="17"/>
        <v>40337.93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8792.37</f>
        <v>8792.3700000000008</v>
      </c>
      <c r="G333" s="18">
        <f>672.59+1245</f>
        <v>1917.5900000000001</v>
      </c>
      <c r="H333" s="18"/>
      <c r="I333" s="18">
        <f>297.87</f>
        <v>297.87</v>
      </c>
      <c r="J333" s="18"/>
      <c r="K333" s="18"/>
      <c r="L333" s="19">
        <f>SUM(F333:K333)</f>
        <v>11007.830000000002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8792.3700000000008</v>
      </c>
      <c r="G337" s="41">
        <f t="shared" si="19"/>
        <v>1917.5900000000001</v>
      </c>
      <c r="H337" s="41">
        <f t="shared" si="19"/>
        <v>0</v>
      </c>
      <c r="I337" s="41">
        <f t="shared" si="19"/>
        <v>297.87</v>
      </c>
      <c r="J337" s="41">
        <f t="shared" si="19"/>
        <v>0</v>
      </c>
      <c r="K337" s="41">
        <f t="shared" si="19"/>
        <v>0</v>
      </c>
      <c r="L337" s="41">
        <f t="shared" si="18"/>
        <v>11007.830000000002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178371.83</v>
      </c>
      <c r="G338" s="41">
        <f t="shared" si="20"/>
        <v>47618.5</v>
      </c>
      <c r="H338" s="41">
        <f t="shared" si="20"/>
        <v>108892.56</v>
      </c>
      <c r="I338" s="41">
        <f t="shared" si="20"/>
        <v>16461.3</v>
      </c>
      <c r="J338" s="41">
        <f t="shared" si="20"/>
        <v>8698.02</v>
      </c>
      <c r="K338" s="41">
        <f t="shared" si="20"/>
        <v>0</v>
      </c>
      <c r="L338" s="41">
        <f t="shared" si="20"/>
        <v>360042.21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178371.83</v>
      </c>
      <c r="G352" s="41">
        <f>G338</f>
        <v>47618.5</v>
      </c>
      <c r="H352" s="41">
        <f>H338</f>
        <v>108892.56</v>
      </c>
      <c r="I352" s="41">
        <f>I338</f>
        <v>16461.3</v>
      </c>
      <c r="J352" s="41">
        <f>J338</f>
        <v>8698.02</v>
      </c>
      <c r="K352" s="47">
        <f>K338+K351</f>
        <v>0</v>
      </c>
      <c r="L352" s="41">
        <f>L338+L351</f>
        <v>360042.21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99067.05+2450.98</f>
        <v>101518.03</v>
      </c>
      <c r="I358" s="18"/>
      <c r="J358" s="18"/>
      <c r="K358" s="18"/>
      <c r="L358" s="13">
        <f>SUM(F358:K358)</f>
        <v>101518.03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74735+1849</f>
        <v>76584</v>
      </c>
      <c r="I360" s="18"/>
      <c r="J360" s="18"/>
      <c r="K360" s="18"/>
      <c r="L360" s="19">
        <f>SUM(F360:K360)</f>
        <v>76584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178102.03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178102.03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39.380000000000003</v>
      </c>
      <c r="I396" s="18"/>
      <c r="J396" s="24" t="s">
        <v>289</v>
      </c>
      <c r="K396" s="24" t="s">
        <v>289</v>
      </c>
      <c r="L396" s="56">
        <f t="shared" si="26"/>
        <v>39.380000000000003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14.91</v>
      </c>
      <c r="I397" s="18"/>
      <c r="J397" s="24" t="s">
        <v>289</v>
      </c>
      <c r="K397" s="24" t="s">
        <v>289</v>
      </c>
      <c r="L397" s="56">
        <f t="shared" si="26"/>
        <v>14.91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54.290000000000006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54.290000000000006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54.290000000000006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54.290000000000006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63000</v>
      </c>
      <c r="L422" s="56">
        <f t="shared" si="29"/>
        <v>63000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63000</v>
      </c>
      <c r="L427" s="47">
        <f t="shared" si="30"/>
        <v>63000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63000</v>
      </c>
      <c r="L434" s="47">
        <f t="shared" si="32"/>
        <v>63000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253391.29</v>
      </c>
      <c r="H439" s="18"/>
      <c r="I439" s="56">
        <f t="shared" ref="I439:I445" si="33">SUM(F439:H439)</f>
        <v>253391.29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253391.29</v>
      </c>
      <c r="H446" s="13">
        <f>SUM(H439:H445)</f>
        <v>0</v>
      </c>
      <c r="I446" s="13">
        <f>SUM(I439:I445)</f>
        <v>253391.29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253391.29</v>
      </c>
      <c r="H456" s="18"/>
      <c r="I456" s="56">
        <f t="shared" si="34"/>
        <v>253391.29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253391.29</v>
      </c>
      <c r="H460" s="83">
        <f>SUM(H454:H459)</f>
        <v>0</v>
      </c>
      <c r="I460" s="83">
        <f>SUM(I454:I459)</f>
        <v>253391.29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253391.29</v>
      </c>
      <c r="H461" s="42">
        <f>H452+H460</f>
        <v>0</v>
      </c>
      <c r="I461" s="42">
        <f>I452+I460</f>
        <v>253391.29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317664.36</v>
      </c>
      <c r="G465" s="18"/>
      <c r="H465" s="18"/>
      <c r="I465" s="18"/>
      <c r="J465" s="18">
        <v>316337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5339958.0999999996</v>
      </c>
      <c r="G468" s="18">
        <v>178102.03</v>
      </c>
      <c r="H468" s="18">
        <v>360042.21</v>
      </c>
      <c r="I468" s="18"/>
      <c r="J468" s="18">
        <v>54.29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5339958.0999999996</v>
      </c>
      <c r="G470" s="53">
        <f>SUM(G468:G469)</f>
        <v>178102.03</v>
      </c>
      <c r="H470" s="53">
        <f>SUM(H468:H469)</f>
        <v>360042.21</v>
      </c>
      <c r="I470" s="53">
        <f>SUM(I468:I469)</f>
        <v>0</v>
      </c>
      <c r="J470" s="53">
        <f>SUM(J468:J469)</f>
        <v>54.29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5389269.3200000003</v>
      </c>
      <c r="G472" s="18">
        <v>178102.03</v>
      </c>
      <c r="H472" s="18">
        <v>360042.21</v>
      </c>
      <c r="I472" s="18"/>
      <c r="J472" s="18">
        <v>63000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5389269.3200000003</v>
      </c>
      <c r="G474" s="53">
        <f>SUM(G472:G473)</f>
        <v>178102.03</v>
      </c>
      <c r="H474" s="53">
        <f>SUM(H472:H473)</f>
        <v>360042.21</v>
      </c>
      <c r="I474" s="53">
        <f>SUM(I472:I473)</f>
        <v>0</v>
      </c>
      <c r="J474" s="53">
        <f>SUM(J472:J473)</f>
        <v>63000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268353.13999999966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253391.28999999998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14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400000</v>
      </c>
      <c r="G493" s="18">
        <v>225501.31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>
        <v>5.39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28571.41</v>
      </c>
      <c r="G495" s="18">
        <v>115000</v>
      </c>
      <c r="H495" s="18"/>
      <c r="I495" s="18"/>
      <c r="J495" s="18"/>
      <c r="K495" s="53">
        <f>SUM(F495:J495)</f>
        <v>143571.41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28571.41</v>
      </c>
      <c r="G497" s="18">
        <v>25659.5</v>
      </c>
      <c r="H497" s="18"/>
      <c r="I497" s="18"/>
      <c r="J497" s="18"/>
      <c r="K497" s="53">
        <f t="shared" si="35"/>
        <v>54230.91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95000</v>
      </c>
      <c r="H498" s="204"/>
      <c r="I498" s="204"/>
      <c r="J498" s="204"/>
      <c r="K498" s="205">
        <f t="shared" si="35"/>
        <v>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14687.75</v>
      </c>
      <c r="H499" s="18"/>
      <c r="I499" s="18"/>
      <c r="J499" s="18"/>
      <c r="K499" s="53">
        <f t="shared" si="35"/>
        <v>14687.75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109687.75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109687.75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20000</v>
      </c>
      <c r="H501" s="204"/>
      <c r="I501" s="204"/>
      <c r="J501" s="204"/>
      <c r="K501" s="205">
        <f t="shared" si="35"/>
        <v>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4581.5</v>
      </c>
      <c r="H502" s="18"/>
      <c r="I502" s="18"/>
      <c r="J502" s="18"/>
      <c r="K502" s="53">
        <f t="shared" si="35"/>
        <v>4581.5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24581.5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24581.5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96291.5+79210.3+4640+6000+5907.05+17841.02+54896.38+5916.01+960+4035+1275+8164.61</f>
        <v>285136.86999999994</v>
      </c>
      <c r="G521" s="18">
        <f>23045.8+500.99+14544.61+14178.66+400+1000+1976.32+334.05+1364.92+354.88+46.46+15721.23+283.87+5081.74+7909.34+600+749.28+164.69+624.67+162.4+32.21</f>
        <v>89076.12</v>
      </c>
      <c r="H521" s="18">
        <f>21707.01+2179.98+139142.8+174</f>
        <v>163203.78999999998</v>
      </c>
      <c r="I521" s="18">
        <f>240.67+312.83+131.84+572.64</f>
        <v>1257.98</v>
      </c>
      <c r="J521" s="18"/>
      <c r="K521" s="18"/>
      <c r="L521" s="88">
        <f>SUM(F521:K521)</f>
        <v>538674.75999999989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91459.87+500+52942.98+1821.31+4233.46</f>
        <v>150957.62</v>
      </c>
      <c r="G523" s="18">
        <f>10368.5+405.81+11101.72+12527.14+189.99+39.49+215.69+323.77+84.21</f>
        <v>35256.319999999992</v>
      </c>
      <c r="H523" s="18">
        <f>51064.71</f>
        <v>51064.71</v>
      </c>
      <c r="I523" s="18">
        <f>875.42</f>
        <v>875.42</v>
      </c>
      <c r="J523" s="18"/>
      <c r="K523" s="18"/>
      <c r="L523" s="88">
        <f>SUM(F523:K523)</f>
        <v>238154.07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436094.48999999993</v>
      </c>
      <c r="G524" s="108">
        <f t="shared" ref="G524:L524" si="36">SUM(G521:G523)</f>
        <v>124332.43999999999</v>
      </c>
      <c r="H524" s="108">
        <f t="shared" si="36"/>
        <v>214268.49999999997</v>
      </c>
      <c r="I524" s="108">
        <f t="shared" si="36"/>
        <v>2133.4</v>
      </c>
      <c r="J524" s="108">
        <f t="shared" si="36"/>
        <v>0</v>
      </c>
      <c r="K524" s="108">
        <f t="shared" si="36"/>
        <v>0</v>
      </c>
      <c r="L524" s="89">
        <f t="shared" si="36"/>
        <v>776828.82999999984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10078.01+19769.54</f>
        <v>29847.550000000003</v>
      </c>
      <c r="I526" s="18"/>
      <c r="J526" s="18"/>
      <c r="K526" s="18"/>
      <c r="L526" s="88">
        <f>SUM(F526:K526)</f>
        <v>29847.550000000003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8046.03</f>
        <v>8046.03</v>
      </c>
      <c r="I528" s="18"/>
      <c r="J528" s="18"/>
      <c r="K528" s="18"/>
      <c r="L528" s="88">
        <f>SUM(F528:K528)</f>
        <v>8046.03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37893.58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37893.58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17878.15+11422.15+7182.31+5840.59</f>
        <v>42323.199999999997</v>
      </c>
      <c r="G531" s="18">
        <f>1603.2+1302.54+4930.49+4011.6+130.29+91.83+2078.81+1445.17+638.06+764.43+2523.75+1648.31+64.62+69.18+21.55+21.66</f>
        <v>21345.489999999998</v>
      </c>
      <c r="H531" s="18">
        <f>254.45+124.21+431.87+248.69</f>
        <v>1059.22</v>
      </c>
      <c r="I531" s="18">
        <f>439.32+300</f>
        <v>739.31999999999994</v>
      </c>
      <c r="J531" s="18"/>
      <c r="K531" s="18">
        <f>779.68+734.83</f>
        <v>1514.51</v>
      </c>
      <c r="L531" s="88">
        <f>SUM(F531:K531)</f>
        <v>66981.739999999991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20361.24+7677.64</f>
        <v>28038.880000000001</v>
      </c>
      <c r="G533" s="18">
        <f>1714.17+5269.51+145.04+2320.78+826.89+2860.1+62.39+21.37</f>
        <v>13220.25</v>
      </c>
      <c r="H533" s="18">
        <f>263.89+425.83</f>
        <v>689.72</v>
      </c>
      <c r="I533" s="18">
        <f>361.68</f>
        <v>361.68</v>
      </c>
      <c r="J533" s="18"/>
      <c r="K533" s="18">
        <f>773.34</f>
        <v>773.34</v>
      </c>
      <c r="L533" s="88">
        <f>SUM(F533:K533)</f>
        <v>43083.87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70362.080000000002</v>
      </c>
      <c r="G534" s="89">
        <f t="shared" ref="G534:L534" si="38">SUM(G531:G533)</f>
        <v>34565.74</v>
      </c>
      <c r="H534" s="89">
        <f t="shared" si="38"/>
        <v>1748.94</v>
      </c>
      <c r="I534" s="89">
        <f t="shared" si="38"/>
        <v>1101</v>
      </c>
      <c r="J534" s="89">
        <f t="shared" si="38"/>
        <v>0</v>
      </c>
      <c r="K534" s="89">
        <f t="shared" si="38"/>
        <v>2287.85</v>
      </c>
      <c r="L534" s="89">
        <f t="shared" si="38"/>
        <v>110065.60999999999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1505+4796</f>
        <v>6301</v>
      </c>
      <c r="I536" s="18"/>
      <c r="J536" s="18"/>
      <c r="K536" s="18"/>
      <c r="L536" s="88">
        <f>SUM(F536:K536)</f>
        <v>6301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6301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6301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600+23941</f>
        <v>24541</v>
      </c>
      <c r="I541" s="18"/>
      <c r="J541" s="18"/>
      <c r="K541" s="18"/>
      <c r="L541" s="88">
        <f>SUM(F541:K541)</f>
        <v>24541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24541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24541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506456.56999999995</v>
      </c>
      <c r="G545" s="89">
        <f t="shared" ref="G545:L545" si="41">G524+G529+G534+G539+G544</f>
        <v>158898.18</v>
      </c>
      <c r="H545" s="89">
        <f t="shared" si="41"/>
        <v>284753.01999999996</v>
      </c>
      <c r="I545" s="89">
        <f t="shared" si="41"/>
        <v>3234.4</v>
      </c>
      <c r="J545" s="89">
        <f t="shared" si="41"/>
        <v>0</v>
      </c>
      <c r="K545" s="89">
        <f t="shared" si="41"/>
        <v>2287.85</v>
      </c>
      <c r="L545" s="89">
        <f t="shared" si="41"/>
        <v>955630.01999999979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538674.75999999989</v>
      </c>
      <c r="G549" s="87">
        <f>L526</f>
        <v>29847.550000000003</v>
      </c>
      <c r="H549" s="87">
        <f>L531</f>
        <v>66981.739999999991</v>
      </c>
      <c r="I549" s="87">
        <f>L536</f>
        <v>6301</v>
      </c>
      <c r="J549" s="87">
        <f>L541</f>
        <v>24541</v>
      </c>
      <c r="K549" s="87">
        <f>SUM(F549:J549)</f>
        <v>666346.04999999993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238154.07</v>
      </c>
      <c r="G551" s="87">
        <f>L528</f>
        <v>8046.03</v>
      </c>
      <c r="H551" s="87">
        <f>L533</f>
        <v>43083.87</v>
      </c>
      <c r="I551" s="87">
        <f>L538</f>
        <v>0</v>
      </c>
      <c r="J551" s="87">
        <f>L543</f>
        <v>0</v>
      </c>
      <c r="K551" s="87">
        <f>SUM(F551:J551)</f>
        <v>289283.97000000003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776828.82999999984</v>
      </c>
      <c r="G552" s="89">
        <f t="shared" si="42"/>
        <v>37893.58</v>
      </c>
      <c r="H552" s="89">
        <f t="shared" si="42"/>
        <v>110065.60999999999</v>
      </c>
      <c r="I552" s="89">
        <f t="shared" si="42"/>
        <v>6301</v>
      </c>
      <c r="J552" s="89">
        <f t="shared" si="42"/>
        <v>24541</v>
      </c>
      <c r="K552" s="89">
        <f t="shared" si="42"/>
        <v>955630.02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21707.01</v>
      </c>
      <c r="G579" s="18"/>
      <c r="H579" s="18"/>
      <c r="I579" s="87">
        <f t="shared" si="47"/>
        <v>21707.01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2179.98+139142.8</f>
        <v>141322.78</v>
      </c>
      <c r="G582" s="18"/>
      <c r="H582" s="18">
        <v>51064.71</v>
      </c>
      <c r="I582" s="87">
        <f t="shared" si="47"/>
        <v>192387.49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37296.839999999997</v>
      </c>
      <c r="I584" s="87">
        <f t="shared" si="47"/>
        <v>37296.839999999997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54763</v>
      </c>
      <c r="I591" s="18"/>
      <c r="J591" s="18">
        <v>41313</v>
      </c>
      <c r="K591" s="104">
        <f t="shared" ref="K591:K597" si="48">SUM(H591:J591)</f>
        <v>96076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24541.4</v>
      </c>
      <c r="I592" s="18"/>
      <c r="J592" s="18"/>
      <c r="K592" s="104">
        <f t="shared" si="48"/>
        <v>24541.4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48038</v>
      </c>
      <c r="K593" s="104">
        <f t="shared" si="48"/>
        <v>48038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3520.55+4702.04</f>
        <v>8222.59</v>
      </c>
      <c r="I594" s="18"/>
      <c r="J594" s="18">
        <v>10905.9</v>
      </c>
      <c r="K594" s="104">
        <f t="shared" si="48"/>
        <v>19128.489999999998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2000</v>
      </c>
      <c r="I595" s="18"/>
      <c r="J595" s="18">
        <v>2065.8000000000002</v>
      </c>
      <c r="K595" s="104">
        <f t="shared" si="48"/>
        <v>4065.8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89526.989999999991</v>
      </c>
      <c r="I598" s="108">
        <f>SUM(I591:I597)</f>
        <v>0</v>
      </c>
      <c r="J598" s="108">
        <f>SUM(J591:J597)</f>
        <v>102322.7</v>
      </c>
      <c r="K598" s="108">
        <f>SUM(K591:K597)</f>
        <v>191849.68999999997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43538.32-16376.13</f>
        <v>27162.190000000002</v>
      </c>
      <c r="I604" s="18"/>
      <c r="J604" s="18">
        <f>1253.98+889.67+889.41+176.9+1147.12+5083.47+6935.58</f>
        <v>16376.13</v>
      </c>
      <c r="K604" s="104">
        <f>SUM(H604:J604)</f>
        <v>43538.32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27162.190000000002</v>
      </c>
      <c r="I605" s="108">
        <f>SUM(I602:I604)</f>
        <v>0</v>
      </c>
      <c r="J605" s="108">
        <f>SUM(J602:J604)</f>
        <v>16376.13</v>
      </c>
      <c r="K605" s="108">
        <f>SUM(K602:K604)</f>
        <v>43538.32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290106.09999999998</v>
      </c>
      <c r="H617" s="109">
        <f>SUM(F52)</f>
        <v>290106.10000000003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5863.32</v>
      </c>
      <c r="H618" s="109">
        <f>SUM(G52)</f>
        <v>5863.32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40856.67</v>
      </c>
      <c r="H619" s="109">
        <f>SUM(H52)</f>
        <v>40856.67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253391.29</v>
      </c>
      <c r="H621" s="109">
        <f>SUM(J52)</f>
        <v>253391.29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268353.14</v>
      </c>
      <c r="H622" s="109">
        <f>F476</f>
        <v>268353.13999999966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253391.29</v>
      </c>
      <c r="H626" s="109">
        <f>J476</f>
        <v>253391.28999999998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5339958.0999999996</v>
      </c>
      <c r="H627" s="104">
        <f>SUM(F468)</f>
        <v>5339958.0999999996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178102.03</v>
      </c>
      <c r="H628" s="104">
        <f>SUM(G468)</f>
        <v>178102.03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360042.21</v>
      </c>
      <c r="H629" s="104">
        <f>SUM(H468)</f>
        <v>360042.21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54.29</v>
      </c>
      <c r="H631" s="104">
        <f>SUM(J468)</f>
        <v>54.29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5389269.3199999984</v>
      </c>
      <c r="H632" s="104">
        <f>SUM(F472)</f>
        <v>5389269.3200000003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360042.21</v>
      </c>
      <c r="H633" s="104">
        <f>SUM(H472)</f>
        <v>360042.21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178102.03</v>
      </c>
      <c r="H635" s="104">
        <f>SUM(G472)</f>
        <v>178102.03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54.290000000000006</v>
      </c>
      <c r="H637" s="164">
        <f>SUM(J468)</f>
        <v>54.29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63000</v>
      </c>
      <c r="H638" s="164">
        <f>SUM(J472)</f>
        <v>63000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253391.29</v>
      </c>
      <c r="H640" s="104">
        <f>SUM(G461)</f>
        <v>253391.29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253391.29</v>
      </c>
      <c r="H642" s="104">
        <f>SUM(I461)</f>
        <v>253391.29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54.29</v>
      </c>
      <c r="H644" s="104">
        <f>H408</f>
        <v>54.290000000000006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54.29</v>
      </c>
      <c r="H646" s="104">
        <f>L408</f>
        <v>54.290000000000006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191849.68999999997</v>
      </c>
      <c r="H647" s="104">
        <f>L208+L226+L244</f>
        <v>191849.69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43538.32</v>
      </c>
      <c r="H648" s="104">
        <f>(J257+J338)-(J255+J336)</f>
        <v>43538.320000000007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89526.989999999991</v>
      </c>
      <c r="H649" s="104">
        <f>H598</f>
        <v>89526.989999999991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102322.7</v>
      </c>
      <c r="H651" s="104">
        <f>J598</f>
        <v>102322.7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11937.66</v>
      </c>
      <c r="H652" s="104">
        <f>K263+K345</f>
        <v>11937.66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3552412.439999999</v>
      </c>
      <c r="G660" s="19">
        <f>(L229+L309+L359)</f>
        <v>0</v>
      </c>
      <c r="H660" s="19">
        <f>(L247+L328+L360)</f>
        <v>2142459.7199999997</v>
      </c>
      <c r="I660" s="19">
        <f>SUM(F660:H660)</f>
        <v>5694872.1599999983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38499.775298498847</v>
      </c>
      <c r="G661" s="19">
        <f>(L359/IF(SUM(L358:L360)=0,1,SUM(L358:L360))*(SUM(G97:G110)))</f>
        <v>0</v>
      </c>
      <c r="H661" s="19">
        <f>(L360/IF(SUM(L358:L360)=0,1,SUM(L358:L360))*(SUM(G97:G110)))</f>
        <v>29043.774701501159</v>
      </c>
      <c r="I661" s="19">
        <f>SUM(F661:H661)</f>
        <v>67543.55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89526.989999999991</v>
      </c>
      <c r="G662" s="19">
        <f>(L226+L306)-(J226+J306)</f>
        <v>0</v>
      </c>
      <c r="H662" s="19">
        <f>(L244+L325)-(J244+J325)</f>
        <v>102322.7</v>
      </c>
      <c r="I662" s="19">
        <f>SUM(F662:H662)</f>
        <v>191849.69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190191.98</v>
      </c>
      <c r="G663" s="199">
        <f>SUM(G575:G587)+SUM(I602:I604)+L612</f>
        <v>0</v>
      </c>
      <c r="H663" s="199">
        <f>SUM(H575:H587)+SUM(J602:J604)+L613</f>
        <v>104737.68</v>
      </c>
      <c r="I663" s="19">
        <f>SUM(F663:H663)</f>
        <v>294929.66000000003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3234193.6947015002</v>
      </c>
      <c r="G664" s="19">
        <f>G660-SUM(G661:G663)</f>
        <v>0</v>
      </c>
      <c r="H664" s="19">
        <f>H660-SUM(H661:H663)</f>
        <v>1906355.5652984986</v>
      </c>
      <c r="I664" s="19">
        <f>I660-SUM(I661:I663)</f>
        <v>5140549.2599999979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119.67+90.18</f>
        <v>209.85000000000002</v>
      </c>
      <c r="G665" s="248"/>
      <c r="H665" s="248">
        <v>155.87</v>
      </c>
      <c r="I665" s="19">
        <f>SUM(F665:H665)</f>
        <v>365.72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15411.93</v>
      </c>
      <c r="G667" s="19" t="e">
        <f>ROUND(G664/G665,2)</f>
        <v>#DIV/0!</v>
      </c>
      <c r="H667" s="19">
        <f>ROUND(H664/H665,2)</f>
        <v>12230.42</v>
      </c>
      <c r="I667" s="19">
        <f>ROUND(I664/I665,2)</f>
        <v>14055.97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-8.67</v>
      </c>
      <c r="I670" s="19">
        <f>SUM(F670:H670)</f>
        <v>-8.67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15411.93</v>
      </c>
      <c r="G672" s="19" t="e">
        <f>ROUND((G664+G669)/(G665+G670),2)</f>
        <v>#DIV/0!</v>
      </c>
      <c r="H672" s="19">
        <f>ROUND((H664+H669)/(H665+H670),2)</f>
        <v>12950.79</v>
      </c>
      <c r="I672" s="19">
        <f>ROUND((I664+I669)/(I665+I670),2)</f>
        <v>14397.28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NORTHUMBERLAND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1602027.09</v>
      </c>
      <c r="C9" s="229">
        <f>'DOE25'!G197+'DOE25'!G215+'DOE25'!G233+'DOE25'!G276+'DOE25'!G295+'DOE25'!G314</f>
        <v>690324.64999999991</v>
      </c>
    </row>
    <row r="10" spans="1:3" x14ac:dyDescent="0.2">
      <c r="A10" t="s">
        <v>779</v>
      </c>
      <c r="B10" s="240">
        <f>1602027.09-42859.62</f>
        <v>1559167.47</v>
      </c>
      <c r="C10" s="240">
        <f>690324.65-3278.76</f>
        <v>687045.89</v>
      </c>
    </row>
    <row r="11" spans="1:3" x14ac:dyDescent="0.2">
      <c r="A11" t="s">
        <v>780</v>
      </c>
      <c r="B11" s="240">
        <v>42859.62</v>
      </c>
      <c r="C11" s="240">
        <v>3278.76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1602027.09</v>
      </c>
      <c r="C13" s="231">
        <f>SUM(C10:C12)</f>
        <v>690324.65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436094.48999999993</v>
      </c>
      <c r="C18" s="229">
        <f>'DOE25'!G198+'DOE25'!G216+'DOE25'!G234+'DOE25'!G277+'DOE25'!G296+'DOE25'!G315</f>
        <v>124332.43999999999</v>
      </c>
    </row>
    <row r="19" spans="1:3" x14ac:dyDescent="0.2">
      <c r="A19" t="s">
        <v>779</v>
      </c>
      <c r="B19" s="240">
        <f>436094.49-156707.65</f>
        <v>279386.83999999997</v>
      </c>
      <c r="C19" s="240">
        <f>124332.44-11988.14</f>
        <v>112344.3</v>
      </c>
    </row>
    <row r="20" spans="1:3" x14ac:dyDescent="0.2">
      <c r="A20" t="s">
        <v>780</v>
      </c>
      <c r="B20" s="240">
        <v>156707.65</v>
      </c>
      <c r="C20" s="240">
        <v>11988.14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436094.49</v>
      </c>
      <c r="C22" s="231">
        <f>SUM(C19:C21)</f>
        <v>124332.44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'DOE25'!F200+'DOE25'!F218+'DOE25'!F236+'DOE25'!F279+'DOE25'!F298+'DOE25'!F333</f>
        <v>56440.560000000005</v>
      </c>
      <c r="C36" s="235">
        <f>'DOE25'!G200+'DOE25'!G218+'DOE25'!G236+'DOE25'!G279+'DOE25'!G298+'DOE25'!G333</f>
        <v>9206.0500000000011</v>
      </c>
    </row>
    <row r="37" spans="1:3" x14ac:dyDescent="0.2">
      <c r="A37" t="s">
        <v>779</v>
      </c>
      <c r="B37" s="240">
        <f>56440.56-21871.53</f>
        <v>34569.03</v>
      </c>
      <c r="C37" s="240">
        <f>9206.05-1673.17</f>
        <v>7532.8799999999992</v>
      </c>
    </row>
    <row r="38" spans="1:3" x14ac:dyDescent="0.2">
      <c r="A38" t="s">
        <v>780</v>
      </c>
      <c r="B38" s="240">
        <v>21871.53</v>
      </c>
      <c r="C38" s="240">
        <v>1673.17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56440.56</v>
      </c>
      <c r="C40" s="231">
        <f>SUM(C37:C39)</f>
        <v>9206.0499999999993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9" sqref="B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NORTHUMBERLAND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3133747.63</v>
      </c>
      <c r="D5" s="20">
        <f>SUM('DOE25'!L197:L200)+SUM('DOE25'!L215:L218)+SUM('DOE25'!L233:L236)-F5-G5</f>
        <v>3101819.1999999997</v>
      </c>
      <c r="E5" s="243"/>
      <c r="F5" s="255">
        <f>SUM('DOE25'!J197:J200)+SUM('DOE25'!J215:J218)+SUM('DOE25'!J233:J236)</f>
        <v>23384.23</v>
      </c>
      <c r="G5" s="53">
        <f>SUM('DOE25'!K197:K200)+SUM('DOE25'!K215:K218)+SUM('DOE25'!K233:K236)</f>
        <v>8544.2000000000007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308565.65999999997</v>
      </c>
      <c r="D6" s="20">
        <f>'DOE25'!L202+'DOE25'!L220+'DOE25'!L238-F6-G6</f>
        <v>307594.38999999996</v>
      </c>
      <c r="E6" s="243"/>
      <c r="F6" s="255">
        <f>'DOE25'!J202+'DOE25'!J220+'DOE25'!J238</f>
        <v>762.27</v>
      </c>
      <c r="G6" s="53">
        <f>'DOE25'!K202+'DOE25'!K220+'DOE25'!K238</f>
        <v>209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139435.74000000002</v>
      </c>
      <c r="D7" s="20">
        <f>'DOE25'!L203+'DOE25'!L221+'DOE25'!L239-F7-G7</f>
        <v>139335.74000000002</v>
      </c>
      <c r="E7" s="243"/>
      <c r="F7" s="255">
        <f>'DOE25'!J203+'DOE25'!J221+'DOE25'!J239</f>
        <v>100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169005.26</v>
      </c>
      <c r="D8" s="243"/>
      <c r="E8" s="20">
        <f>'DOE25'!L204+'DOE25'!L222+'DOE25'!L240-F8-G8-D9-D11</f>
        <v>164627.51</v>
      </c>
      <c r="F8" s="255">
        <f>'DOE25'!J204+'DOE25'!J222+'DOE25'!J240</f>
        <v>0</v>
      </c>
      <c r="G8" s="53">
        <f>'DOE25'!K204+'DOE25'!K222+'DOE25'!K240</f>
        <v>4377.75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35186.620000000003</v>
      </c>
      <c r="D9" s="244">
        <v>35186.620000000003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12565</v>
      </c>
      <c r="D10" s="243"/>
      <c r="E10" s="244">
        <v>12565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175523.5</v>
      </c>
      <c r="D11" s="244">
        <v>175523.5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516875.05000000005</v>
      </c>
      <c r="D12" s="20">
        <f>'DOE25'!L205+'DOE25'!L223+'DOE25'!L241-F12-G12</f>
        <v>508310.26000000007</v>
      </c>
      <c r="E12" s="243"/>
      <c r="F12" s="255">
        <f>'DOE25'!J205+'DOE25'!J223+'DOE25'!J241</f>
        <v>249.99</v>
      </c>
      <c r="G12" s="53">
        <f>'DOE25'!K205+'DOE25'!K223+'DOE25'!K241</f>
        <v>8314.7999999999993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497546.6</v>
      </c>
      <c r="D14" s="20">
        <f>'DOE25'!L207+'DOE25'!L225+'DOE25'!L243-F14-G14</f>
        <v>487202.79</v>
      </c>
      <c r="E14" s="243"/>
      <c r="F14" s="255">
        <f>'DOE25'!J207+'DOE25'!J225+'DOE25'!J243</f>
        <v>10343.81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191849.69</v>
      </c>
      <c r="D15" s="20">
        <f>'DOE25'!L208+'DOE25'!L226+'DOE25'!L244-F15-G15</f>
        <v>191849.69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126570</v>
      </c>
      <c r="D22" s="243"/>
      <c r="E22" s="243"/>
      <c r="F22" s="255">
        <f>'DOE25'!L255+'DOE25'!L336</f>
        <v>126570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54230.91</v>
      </c>
      <c r="D25" s="243"/>
      <c r="E25" s="243"/>
      <c r="F25" s="258"/>
      <c r="G25" s="256"/>
      <c r="H25" s="257">
        <f>'DOE25'!L260+'DOE25'!L261+'DOE25'!L341+'DOE25'!L342</f>
        <v>54230.91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178102.03</v>
      </c>
      <c r="D29" s="20">
        <f>'DOE25'!L358+'DOE25'!L359+'DOE25'!L360-'DOE25'!I367-F29-G29</f>
        <v>178102.03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360042.21</v>
      </c>
      <c r="D31" s="20">
        <f>'DOE25'!L290+'DOE25'!L309+'DOE25'!L328+'DOE25'!L333+'DOE25'!L334+'DOE25'!L335-F31-G31</f>
        <v>351344.19</v>
      </c>
      <c r="E31" s="243"/>
      <c r="F31" s="255">
        <f>'DOE25'!J290+'DOE25'!J309+'DOE25'!J328+'DOE25'!J333+'DOE25'!J334+'DOE25'!J335</f>
        <v>8698.02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5476268.4100000011</v>
      </c>
      <c r="E33" s="246">
        <f>SUM(E5:E31)</f>
        <v>177192.51</v>
      </c>
      <c r="F33" s="246">
        <f>SUM(F5:F31)</f>
        <v>170108.31999999998</v>
      </c>
      <c r="G33" s="246">
        <f>SUM(G5:G31)</f>
        <v>21445.75</v>
      </c>
      <c r="H33" s="246">
        <f>SUM(H5:H31)</f>
        <v>54230.91</v>
      </c>
    </row>
    <row r="35" spans="2:8" ht="12" thickBot="1" x14ac:dyDescent="0.25">
      <c r="B35" s="253" t="s">
        <v>847</v>
      </c>
      <c r="D35" s="254">
        <f>E33</f>
        <v>177192.51</v>
      </c>
      <c r="E35" s="249"/>
    </row>
    <row r="36" spans="2:8" ht="12" thickTop="1" x14ac:dyDescent="0.2">
      <c r="B36" t="s">
        <v>815</v>
      </c>
      <c r="D36" s="20">
        <f>D33</f>
        <v>5476268.4100000011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243386.11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253391.29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46719.99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5863.32</v>
      </c>
      <c r="E13" s="95">
        <f>'DOE25'!H14</f>
        <v>40856.67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290106.09999999998</v>
      </c>
      <c r="D18" s="41">
        <f>SUM(D8:D17)</f>
        <v>5863.32</v>
      </c>
      <c r="E18" s="41">
        <f>SUM(E8:E17)</f>
        <v>40856.67</v>
      </c>
      <c r="F18" s="41">
        <f>SUM(F8:F17)</f>
        <v>0</v>
      </c>
      <c r="G18" s="41">
        <f>SUM(G8:G17)</f>
        <v>253391.29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5863.32</v>
      </c>
      <c r="E21" s="95">
        <f>'DOE25'!H22</f>
        <v>40856.67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21752.959999999999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21752.959999999999</v>
      </c>
      <c r="D31" s="41">
        <f>SUM(D21:D30)</f>
        <v>5863.32</v>
      </c>
      <c r="E31" s="41">
        <f>SUM(E21:E30)</f>
        <v>40856.67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253391.29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40216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153137.14000000001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268353.14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253391.29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290106.10000000003</v>
      </c>
      <c r="D51" s="41">
        <f>D50+D31</f>
        <v>5863.32</v>
      </c>
      <c r="E51" s="41">
        <f>E50+E31</f>
        <v>40856.67</v>
      </c>
      <c r="F51" s="41">
        <f>F50+F31</f>
        <v>0</v>
      </c>
      <c r="G51" s="41">
        <f>G50+G31</f>
        <v>253391.29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1398519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905746.82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1772.37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54.29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67543.55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111025.87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1018545.0599999999</v>
      </c>
      <c r="D62" s="130">
        <f>SUM(D57:D61)</f>
        <v>67543.55</v>
      </c>
      <c r="E62" s="130">
        <f>SUM(E57:E61)</f>
        <v>0</v>
      </c>
      <c r="F62" s="130">
        <f>SUM(F57:F61)</f>
        <v>0</v>
      </c>
      <c r="G62" s="130">
        <f>SUM(G57:G61)</f>
        <v>54.29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2417064.06</v>
      </c>
      <c r="D63" s="22">
        <f>D56+D62</f>
        <v>67543.55</v>
      </c>
      <c r="E63" s="22">
        <f>E56+E62</f>
        <v>0</v>
      </c>
      <c r="F63" s="22">
        <f>F56+F62</f>
        <v>0</v>
      </c>
      <c r="G63" s="22">
        <f>G56+G62</f>
        <v>54.29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2579479.2999999998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210139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2789618.3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20571.419999999998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13967.6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2294.06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34539.019999999997</v>
      </c>
      <c r="D78" s="130">
        <f>SUM(D72:D77)</f>
        <v>2294.06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2824157.32</v>
      </c>
      <c r="D81" s="130">
        <f>SUM(D79:D80)+D78+D70</f>
        <v>2294.06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30124.54</v>
      </c>
      <c r="D88" s="95">
        <f>SUM('DOE25'!G153:G161)</f>
        <v>96326.76</v>
      </c>
      <c r="E88" s="95">
        <f>SUM('DOE25'!H153:H161)</f>
        <v>360042.21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363.19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30487.73</v>
      </c>
      <c r="D91" s="131">
        <f>SUM(D85:D90)</f>
        <v>96326.76</v>
      </c>
      <c r="E91" s="131">
        <f>SUM(E85:E90)</f>
        <v>360042.21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5248.99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11937.66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63000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68248.990000000005</v>
      </c>
      <c r="D103" s="86">
        <f>SUM(D93:D102)</f>
        <v>11937.66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5339958.1000000006</v>
      </c>
      <c r="D104" s="86">
        <f>D63+D81+D91+D103</f>
        <v>178102.03</v>
      </c>
      <c r="E104" s="86">
        <f>E63+E81+E91+E103</f>
        <v>360042.21</v>
      </c>
      <c r="F104" s="86">
        <f>F63+F81+F91+F103</f>
        <v>0</v>
      </c>
      <c r="G104" s="86">
        <f>G63+G81+G103</f>
        <v>54.29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2192396.3899999997</v>
      </c>
      <c r="D109" s="24" t="s">
        <v>289</v>
      </c>
      <c r="E109" s="95">
        <f>('DOE25'!L276)+('DOE25'!L295)+('DOE25'!L314)</f>
        <v>249718.46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821023.40999999992</v>
      </c>
      <c r="D110" s="24" t="s">
        <v>289</v>
      </c>
      <c r="E110" s="95">
        <f>('DOE25'!L277)+('DOE25'!L296)+('DOE25'!L315)</f>
        <v>99315.92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37296.839999999997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83030.989999999991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11007.830000000002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3133747.63</v>
      </c>
      <c r="D115" s="86">
        <f>SUM(D109:D114)</f>
        <v>0</v>
      </c>
      <c r="E115" s="86">
        <f>SUM(E109:E114)</f>
        <v>360042.21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308565.65999999997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139435.74000000002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379715.38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516875.05000000005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497546.6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191849.69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178102.03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2033988.12</v>
      </c>
      <c r="D128" s="86">
        <f>SUM(D118:D127)</f>
        <v>178102.03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126570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48571.41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5659.5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63000</v>
      </c>
    </row>
    <row r="135" spans="1:7" x14ac:dyDescent="0.2">
      <c r="A135" t="s">
        <v>233</v>
      </c>
      <c r="B135" s="32" t="s">
        <v>234</v>
      </c>
      <c r="C135" s="95">
        <f>'DOE25'!L263</f>
        <v>11937.66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54.290000000000006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-54.290000000000006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28795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221533.57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63000</v>
      </c>
    </row>
    <row r="145" spans="1:9" ht="12.75" thickTop="1" thickBot="1" x14ac:dyDescent="0.25">
      <c r="A145" s="33" t="s">
        <v>244</v>
      </c>
      <c r="C145" s="86">
        <f>(C115+C128+C144)</f>
        <v>5389269.3200000003</v>
      </c>
      <c r="D145" s="86">
        <f>(D115+D128+D144)</f>
        <v>178102.03</v>
      </c>
      <c r="E145" s="86">
        <f>(E115+E128+E144)</f>
        <v>360042.21</v>
      </c>
      <c r="F145" s="86">
        <f>(F115+F128+F144)</f>
        <v>0</v>
      </c>
      <c r="G145" s="86">
        <f>(G115+G128+G144)</f>
        <v>63000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14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06/01</v>
      </c>
      <c r="C152" s="152" t="str">
        <f>'DOE25'!G491</f>
        <v>09/10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06/15</v>
      </c>
      <c r="C153" s="152" t="str">
        <f>'DOE25'!G492</f>
        <v>09/20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400000</v>
      </c>
      <c r="C154" s="137">
        <f>'DOE25'!G493</f>
        <v>225501.31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5.39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28571.41</v>
      </c>
      <c r="C156" s="137">
        <f>'DOE25'!G495</f>
        <v>115000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143571.41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28571.41</v>
      </c>
      <c r="C158" s="137">
        <f>'DOE25'!G497</f>
        <v>25659.5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54230.91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95000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95000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14687.75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14687.75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109687.75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109687.75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20000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4581.5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4581.5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24581.5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24581.5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NORTHUMBERLAND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15412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12951</v>
      </c>
    </row>
    <row r="7" spans="1:4" x14ac:dyDescent="0.2">
      <c r="B7" t="s">
        <v>705</v>
      </c>
      <c r="C7" s="179">
        <f>IF('DOE25'!I665+'DOE25'!I670=0,0,ROUND('DOE25'!I672,0))</f>
        <v>14397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2442115</v>
      </c>
      <c r="D10" s="182">
        <f>ROUND((C10/$C$28)*100,1)</f>
        <v>43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920339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37297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83031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308566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139436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379715</v>
      </c>
      <c r="D17" s="182">
        <f t="shared" si="0"/>
        <v>6.7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516875</v>
      </c>
      <c r="D18" s="182">
        <f t="shared" si="0"/>
        <v>9.1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497547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191850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11008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5660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28795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110558.45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5672792.4500000002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126570</v>
      </c>
    </row>
    <row r="30" spans="1:4" x14ac:dyDescent="0.2">
      <c r="B30" s="187" t="s">
        <v>729</v>
      </c>
      <c r="C30" s="180">
        <f>SUM(C28:C29)</f>
        <v>5799362.4500000002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48571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1398519</v>
      </c>
      <c r="D35" s="182">
        <f t="shared" ref="D35:D40" si="1">ROUND((C35/$C$41)*100,1)</f>
        <v>24.4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1023848.3399999999</v>
      </c>
      <c r="D36" s="182">
        <f t="shared" si="1"/>
        <v>17.899999999999999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2789618</v>
      </c>
      <c r="D37" s="182">
        <f t="shared" si="1"/>
        <v>48.6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36833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486857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5735675.3399999999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NORTHUMBERLAND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2015-07-28T12:10:54Z</cp:lastPrinted>
  <dcterms:created xsi:type="dcterms:W3CDTF">1997-12-04T19:04:30Z</dcterms:created>
  <dcterms:modified xsi:type="dcterms:W3CDTF">2015-12-21T13:26:25Z</dcterms:modified>
</cp:coreProperties>
</file>