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9200" windowHeight="1099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26" i="1" l="1"/>
  <c r="H528" i="1"/>
  <c r="H533" i="1"/>
  <c r="H531" i="1"/>
  <c r="F28" i="1" l="1"/>
  <c r="G24" i="1"/>
  <c r="F24" i="1"/>
  <c r="F14" i="1"/>
  <c r="D9" i="13" l="1"/>
  <c r="H234" i="1"/>
  <c r="H396" i="1" l="1"/>
  <c r="J465" i="1"/>
  <c r="J46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20" i="2" s="1"/>
  <c r="D39" i="13"/>
  <c r="F13" i="13"/>
  <c r="G13" i="13"/>
  <c r="E13" i="13" s="1"/>
  <c r="C13" i="13" s="1"/>
  <c r="L206" i="1"/>
  <c r="C19" i="10" s="1"/>
  <c r="L224" i="1"/>
  <c r="L242" i="1"/>
  <c r="F16" i="13"/>
  <c r="G16" i="13"/>
  <c r="L209" i="1"/>
  <c r="C125" i="2" s="1"/>
  <c r="L227" i="1"/>
  <c r="L245" i="1"/>
  <c r="F5" i="13"/>
  <c r="G5" i="13"/>
  <c r="L197" i="1"/>
  <c r="L198" i="1"/>
  <c r="L199" i="1"/>
  <c r="C111" i="2" s="1"/>
  <c r="L200" i="1"/>
  <c r="C13" i="10" s="1"/>
  <c r="L215" i="1"/>
  <c r="L216" i="1"/>
  <c r="L217" i="1"/>
  <c r="L218" i="1"/>
  <c r="L233" i="1"/>
  <c r="C10" i="10" s="1"/>
  <c r="L234" i="1"/>
  <c r="L235" i="1"/>
  <c r="L236" i="1"/>
  <c r="F6" i="13"/>
  <c r="G6" i="13"/>
  <c r="L202" i="1"/>
  <c r="L220" i="1"/>
  <c r="L238" i="1"/>
  <c r="F7" i="13"/>
  <c r="G7" i="13"/>
  <c r="L203" i="1"/>
  <c r="C16" i="10" s="1"/>
  <c r="L221" i="1"/>
  <c r="L239" i="1"/>
  <c r="F12" i="13"/>
  <c r="G12" i="13"/>
  <c r="D12" i="13" s="1"/>
  <c r="C12" i="13" s="1"/>
  <c r="L205" i="1"/>
  <c r="L223" i="1"/>
  <c r="L241" i="1"/>
  <c r="F14" i="13"/>
  <c r="G14" i="13"/>
  <c r="L207" i="1"/>
  <c r="D14" i="13" s="1"/>
  <c r="C14" i="13" s="1"/>
  <c r="L225" i="1"/>
  <c r="L243" i="1"/>
  <c r="F15" i="13"/>
  <c r="G15" i="13"/>
  <c r="L208" i="1"/>
  <c r="F662" i="1" s="1"/>
  <c r="L226" i="1"/>
  <c r="L244" i="1"/>
  <c r="F17" i="13"/>
  <c r="G17" i="13"/>
  <c r="L251" i="1"/>
  <c r="C114" i="2" s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A40" i="12" s="1"/>
  <c r="B27" i="12"/>
  <c r="C27" i="12"/>
  <c r="B31" i="12"/>
  <c r="C31" i="12"/>
  <c r="B9" i="12"/>
  <c r="B13" i="12"/>
  <c r="C9" i="12"/>
  <c r="C13" i="12"/>
  <c r="A13" i="12" s="1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401" i="1" s="1"/>
  <c r="C139" i="2" s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D56" i="2" s="1"/>
  <c r="H60" i="1"/>
  <c r="I60" i="1"/>
  <c r="F79" i="1"/>
  <c r="F94" i="1"/>
  <c r="C58" i="2" s="1"/>
  <c r="F111" i="1"/>
  <c r="G111" i="1"/>
  <c r="H79" i="1"/>
  <c r="H94" i="1"/>
  <c r="H112" i="1" s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D85" i="2" s="1"/>
  <c r="G162" i="1"/>
  <c r="H147" i="1"/>
  <c r="H162" i="1"/>
  <c r="I147" i="1"/>
  <c r="I169" i="1" s="1"/>
  <c r="I162" i="1"/>
  <c r="C12" i="10"/>
  <c r="C18" i="10"/>
  <c r="L250" i="1"/>
  <c r="L332" i="1"/>
  <c r="L254" i="1"/>
  <c r="C25" i="10"/>
  <c r="L268" i="1"/>
  <c r="L269" i="1"/>
  <c r="L349" i="1"/>
  <c r="L350" i="1"/>
  <c r="E143" i="2" s="1"/>
  <c r="I665" i="1"/>
  <c r="I670" i="1"/>
  <c r="L229" i="1"/>
  <c r="G661" i="1"/>
  <c r="H661" i="1"/>
  <c r="H662" i="1"/>
  <c r="I669" i="1"/>
  <c r="C42" i="10"/>
  <c r="L374" i="1"/>
  <c r="L375" i="1"/>
  <c r="C29" i="10" s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H552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E31" i="2" s="1"/>
  <c r="F23" i="2"/>
  <c r="I450" i="1"/>
  <c r="J24" i="1" s="1"/>
  <c r="G23" i="2" s="1"/>
  <c r="C24" i="2"/>
  <c r="D24" i="2"/>
  <c r="D31" i="2" s="1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E56" i="2"/>
  <c r="F56" i="2"/>
  <c r="C57" i="2"/>
  <c r="E57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E110" i="2"/>
  <c r="E115" i="2" s="1"/>
  <c r="E111" i="2"/>
  <c r="E112" i="2"/>
  <c r="C113" i="2"/>
  <c r="E113" i="2"/>
  <c r="E114" i="2"/>
  <c r="D115" i="2"/>
  <c r="F115" i="2"/>
  <c r="G115" i="2"/>
  <c r="E118" i="2"/>
  <c r="E119" i="2"/>
  <c r="E128" i="2" s="1"/>
  <c r="E120" i="2"/>
  <c r="C121" i="2"/>
  <c r="E121" i="2"/>
  <c r="E122" i="2"/>
  <c r="E123" i="2"/>
  <c r="E124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F192" i="1" s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H257" i="1" s="1"/>
  <c r="I247" i="1"/>
  <c r="J247" i="1"/>
  <c r="K247" i="1"/>
  <c r="F256" i="1"/>
  <c r="G256" i="1"/>
  <c r="H256" i="1"/>
  <c r="I256" i="1"/>
  <c r="J256" i="1"/>
  <c r="K256" i="1"/>
  <c r="F290" i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F408" i="1" s="1"/>
  <c r="H643" i="1" s="1"/>
  <c r="G401" i="1"/>
  <c r="H401" i="1"/>
  <c r="I401" i="1"/>
  <c r="F407" i="1"/>
  <c r="G407" i="1"/>
  <c r="H407" i="1"/>
  <c r="I407" i="1"/>
  <c r="G408" i="1"/>
  <c r="H645" i="1" s="1"/>
  <c r="H408" i="1"/>
  <c r="H644" i="1" s="1"/>
  <c r="I408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G452" i="1"/>
  <c r="H452" i="1"/>
  <c r="F460" i="1"/>
  <c r="G460" i="1"/>
  <c r="H460" i="1"/>
  <c r="F461" i="1"/>
  <c r="H639" i="1" s="1"/>
  <c r="G461" i="1"/>
  <c r="H461" i="1"/>
  <c r="H641" i="1" s="1"/>
  <c r="F470" i="1"/>
  <c r="G470" i="1"/>
  <c r="H470" i="1"/>
  <c r="H476" i="1" s="1"/>
  <c r="H624" i="1" s="1"/>
  <c r="I470" i="1"/>
  <c r="J470" i="1"/>
  <c r="F474" i="1"/>
  <c r="F476" i="1" s="1"/>
  <c r="H622" i="1" s="1"/>
  <c r="J622" i="1" s="1"/>
  <c r="G474" i="1"/>
  <c r="G476" i="1" s="1"/>
  <c r="H623" i="1" s="1"/>
  <c r="H474" i="1"/>
  <c r="I474" i="1"/>
  <c r="I476" i="1" s="1"/>
  <c r="H625" i="1" s="1"/>
  <c r="J625" i="1" s="1"/>
  <c r="J474" i="1"/>
  <c r="J476" i="1" s="1"/>
  <c r="H626" i="1" s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I545" i="1" s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G565" i="1"/>
  <c r="H565" i="1"/>
  <c r="I565" i="1"/>
  <c r="J565" i="1"/>
  <c r="K565" i="1"/>
  <c r="L567" i="1"/>
  <c r="L570" i="1" s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5" i="1" s="1"/>
  <c r="G648" i="1" s="1"/>
  <c r="K603" i="1"/>
  <c r="K604" i="1"/>
  <c r="H605" i="1"/>
  <c r="I605" i="1"/>
  <c r="J605" i="1"/>
  <c r="F614" i="1"/>
  <c r="G614" i="1"/>
  <c r="H614" i="1"/>
  <c r="I614" i="1"/>
  <c r="J614" i="1"/>
  <c r="K614" i="1"/>
  <c r="G620" i="1"/>
  <c r="G622" i="1"/>
  <c r="G623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40" i="1"/>
  <c r="H640" i="1"/>
  <c r="G641" i="1"/>
  <c r="J641" i="1" s="1"/>
  <c r="G643" i="1"/>
  <c r="G644" i="1"/>
  <c r="G645" i="1"/>
  <c r="G650" i="1"/>
  <c r="G651" i="1"/>
  <c r="G652" i="1"/>
  <c r="H652" i="1"/>
  <c r="G653" i="1"/>
  <c r="H653" i="1"/>
  <c r="G654" i="1"/>
  <c r="H654" i="1"/>
  <c r="H655" i="1"/>
  <c r="L256" i="1"/>
  <c r="G164" i="2"/>
  <c r="C26" i="10"/>
  <c r="L328" i="1"/>
  <c r="L351" i="1"/>
  <c r="L290" i="1"/>
  <c r="C70" i="2"/>
  <c r="D62" i="2"/>
  <c r="D18" i="13"/>
  <c r="C18" i="13" s="1"/>
  <c r="D7" i="13"/>
  <c r="C7" i="13" s="1"/>
  <c r="D17" i="13"/>
  <c r="C17" i="13" s="1"/>
  <c r="D6" i="13"/>
  <c r="C6" i="13" s="1"/>
  <c r="F78" i="2"/>
  <c r="F81" i="2" s="1"/>
  <c r="D50" i="2"/>
  <c r="F18" i="2"/>
  <c r="E103" i="2"/>
  <c r="E62" i="2"/>
  <c r="E63" i="2" s="1"/>
  <c r="G62" i="2"/>
  <c r="D19" i="13"/>
  <c r="C19" i="13" s="1"/>
  <c r="E78" i="2"/>
  <c r="E81" i="2" s="1"/>
  <c r="F112" i="1"/>
  <c r="J571" i="1"/>
  <c r="L433" i="1"/>
  <c r="D81" i="2"/>
  <c r="H169" i="1"/>
  <c r="F169" i="1"/>
  <c r="J140" i="1"/>
  <c r="F571" i="1"/>
  <c r="G22" i="2"/>
  <c r="K545" i="1"/>
  <c r="H140" i="1"/>
  <c r="L393" i="1"/>
  <c r="F22" i="13"/>
  <c r="H25" i="13"/>
  <c r="C25" i="13" s="1"/>
  <c r="J640" i="1"/>
  <c r="H571" i="1"/>
  <c r="J545" i="1"/>
  <c r="H338" i="1"/>
  <c r="H352" i="1" s="1"/>
  <c r="F338" i="1"/>
  <c r="F352" i="1" s="1"/>
  <c r="H192" i="1"/>
  <c r="C35" i="10"/>
  <c r="L309" i="1"/>
  <c r="I571" i="1"/>
  <c r="J636" i="1"/>
  <c r="G36" i="2"/>
  <c r="L565" i="1"/>
  <c r="C22" i="13"/>
  <c r="C138" i="2"/>
  <c r="I552" i="1" l="1"/>
  <c r="K551" i="1"/>
  <c r="J552" i="1"/>
  <c r="C78" i="2"/>
  <c r="C81" i="2" s="1"/>
  <c r="C104" i="2" s="1"/>
  <c r="L614" i="1"/>
  <c r="L529" i="1"/>
  <c r="G552" i="1"/>
  <c r="G545" i="1"/>
  <c r="L539" i="1"/>
  <c r="H545" i="1"/>
  <c r="K549" i="1"/>
  <c r="J623" i="1"/>
  <c r="D18" i="2"/>
  <c r="C18" i="2"/>
  <c r="H33" i="13"/>
  <c r="C32" i="10"/>
  <c r="K598" i="1"/>
  <c r="G647" i="1" s="1"/>
  <c r="C110" i="2"/>
  <c r="J634" i="1"/>
  <c r="I369" i="1"/>
  <c r="H634" i="1" s="1"/>
  <c r="D29" i="13"/>
  <c r="C29" i="13" s="1"/>
  <c r="I661" i="1"/>
  <c r="L362" i="1"/>
  <c r="C27" i="10" s="1"/>
  <c r="D127" i="2"/>
  <c r="D128" i="2" s="1"/>
  <c r="D145" i="2" s="1"/>
  <c r="K257" i="1"/>
  <c r="K271" i="1" s="1"/>
  <c r="J257" i="1"/>
  <c r="J271" i="1" s="1"/>
  <c r="I257" i="1"/>
  <c r="I271" i="1" s="1"/>
  <c r="G257" i="1"/>
  <c r="G271" i="1" s="1"/>
  <c r="F257" i="1"/>
  <c r="F271" i="1" s="1"/>
  <c r="L247" i="1"/>
  <c r="H660" i="1" s="1"/>
  <c r="H664" i="1" s="1"/>
  <c r="H667" i="1" s="1"/>
  <c r="D15" i="13"/>
  <c r="C15" i="13" s="1"/>
  <c r="H647" i="1"/>
  <c r="C21" i="10"/>
  <c r="G649" i="1"/>
  <c r="J649" i="1" s="1"/>
  <c r="C124" i="2"/>
  <c r="E16" i="13"/>
  <c r="C16" i="13" s="1"/>
  <c r="C17" i="10"/>
  <c r="E8" i="13"/>
  <c r="C8" i="13" s="1"/>
  <c r="C122" i="2"/>
  <c r="C118" i="2"/>
  <c r="A31" i="12"/>
  <c r="C20" i="10"/>
  <c r="D5" i="13"/>
  <c r="C5" i="13" s="1"/>
  <c r="C11" i="10"/>
  <c r="G192" i="1"/>
  <c r="C91" i="2"/>
  <c r="D91" i="2"/>
  <c r="J643" i="1"/>
  <c r="J644" i="1"/>
  <c r="J645" i="1"/>
  <c r="J655" i="1"/>
  <c r="J639" i="1"/>
  <c r="L427" i="1"/>
  <c r="J624" i="1"/>
  <c r="J617" i="1"/>
  <c r="K550" i="1"/>
  <c r="H271" i="1"/>
  <c r="D63" i="2"/>
  <c r="G624" i="1"/>
  <c r="L534" i="1"/>
  <c r="K500" i="1"/>
  <c r="I460" i="1"/>
  <c r="I452" i="1"/>
  <c r="I446" i="1"/>
  <c r="G642" i="1" s="1"/>
  <c r="C123" i="2"/>
  <c r="C119" i="2"/>
  <c r="C112" i="2"/>
  <c r="F85" i="2"/>
  <c r="F91" i="2" s="1"/>
  <c r="F104" i="2" s="1"/>
  <c r="L211" i="1"/>
  <c r="F660" i="1" s="1"/>
  <c r="F664" i="1" s="1"/>
  <c r="G81" i="2"/>
  <c r="C62" i="2"/>
  <c r="C63" i="2" s="1"/>
  <c r="G662" i="1"/>
  <c r="I662" i="1" s="1"/>
  <c r="C15" i="10"/>
  <c r="G112" i="1"/>
  <c r="L544" i="1"/>
  <c r="L524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E50" i="2"/>
  <c r="E51" i="2" s="1"/>
  <c r="C50" i="2"/>
  <c r="F31" i="2"/>
  <c r="C31" i="2"/>
  <c r="E18" i="2"/>
  <c r="E144" i="2"/>
  <c r="E145" i="2" s="1"/>
  <c r="F50" i="2"/>
  <c r="F51" i="2" s="1"/>
  <c r="L338" i="1"/>
  <c r="L352" i="1" s="1"/>
  <c r="G633" i="1" s="1"/>
  <c r="J633" i="1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D31" i="13" s="1"/>
  <c r="C31" i="13" s="1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G18" i="2"/>
  <c r="F545" i="1"/>
  <c r="H434" i="1"/>
  <c r="J620" i="1"/>
  <c r="J619" i="1"/>
  <c r="D103" i="2"/>
  <c r="I140" i="1"/>
  <c r="I193" i="1" s="1"/>
  <c r="G630" i="1" s="1"/>
  <c r="J630" i="1" s="1"/>
  <c r="A22" i="12"/>
  <c r="G50" i="2"/>
  <c r="G51" i="2" s="1"/>
  <c r="H648" i="1"/>
  <c r="J648" i="1" s="1"/>
  <c r="J652" i="1"/>
  <c r="G571" i="1"/>
  <c r="I434" i="1"/>
  <c r="G434" i="1"/>
  <c r="E104" i="2"/>
  <c r="I663" i="1"/>
  <c r="G635" i="1"/>
  <c r="J635" i="1" s="1"/>
  <c r="K552" i="1" l="1"/>
  <c r="J647" i="1"/>
  <c r="C115" i="2"/>
  <c r="H672" i="1"/>
  <c r="C6" i="10" s="1"/>
  <c r="E33" i="13"/>
  <c r="D35" i="13" s="1"/>
  <c r="C128" i="2"/>
  <c r="C28" i="10"/>
  <c r="D19" i="10" s="1"/>
  <c r="I660" i="1"/>
  <c r="I664" i="1" s="1"/>
  <c r="I672" i="1" s="1"/>
  <c r="C7" i="10" s="1"/>
  <c r="L257" i="1"/>
  <c r="L271" i="1" s="1"/>
  <c r="G632" i="1" s="1"/>
  <c r="J632" i="1" s="1"/>
  <c r="D104" i="2"/>
  <c r="F33" i="13"/>
  <c r="G104" i="2"/>
  <c r="L545" i="1"/>
  <c r="L408" i="1"/>
  <c r="F672" i="1"/>
  <c r="C4" i="10" s="1"/>
  <c r="F667" i="1"/>
  <c r="I461" i="1"/>
  <c r="H642" i="1" s="1"/>
  <c r="J642" i="1" s="1"/>
  <c r="G664" i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C145" i="2" l="1"/>
  <c r="D12" i="10"/>
  <c r="D23" i="10"/>
  <c r="D21" i="10"/>
  <c r="D27" i="10"/>
  <c r="D18" i="10"/>
  <c r="D26" i="10"/>
  <c r="D11" i="10"/>
  <c r="D22" i="10"/>
  <c r="D10" i="10"/>
  <c r="C30" i="10"/>
  <c r="D24" i="10"/>
  <c r="D13" i="10"/>
  <c r="D17" i="10"/>
  <c r="D16" i="10"/>
  <c r="D20" i="10"/>
  <c r="D15" i="10"/>
  <c r="D25" i="10"/>
  <c r="G667" i="1"/>
  <c r="G672" i="1"/>
  <c r="C5" i="10" s="1"/>
  <c r="G637" i="1"/>
  <c r="J637" i="1" s="1"/>
  <c r="H646" i="1"/>
  <c r="J646" i="1" s="1"/>
  <c r="I667" i="1"/>
  <c r="C41" i="10"/>
  <c r="D38" i="10" s="1"/>
  <c r="D28" i="10" l="1"/>
  <c r="H65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<sst xmlns="http://schemas.openxmlformats.org/spreadsheetml/2006/main" count="3957" uniqueCount="915">
  <si>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</si>
  <si>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</si>
  <si>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</si>
  <si>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</si>
  <si>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</si>
  <si>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</si>
  <si>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</si>
  <si>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</si>
  <si>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</si>
  <si>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</si>
  <si>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</si>
  <si>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</si>
  <si>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</si>
  <si>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</si>
  <si>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</si>
  <si>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</si>
  <si>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</si>
  <si>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</si>
  <si>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</si>
  <si>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</si>
  <si>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</si>
  <si>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</si>
  <si>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</si>
  <si>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</si>
  <si>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</si>
  <si>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</si>
  <si>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</si>
  <si>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</si>
  <si>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</si>
  <si>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</si>
  <si>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</si>
  <si>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</si>
  <si>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</si>
  <si>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</si>
  <si>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</si>
  <si>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</si>
  <si>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</si>
  <si>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</si>
  <si>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</si>
  <si>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</si>
  <si>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</si>
  <si>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</si>
  <si>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</si>
  <si>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</si>
  <si>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</si>
  <si>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</si>
  <si>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</si>
  <si>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</si>
  <si>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</si>
  <si>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</si>
  <si>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</si>
  <si>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</si>
  <si>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</si>
  <si>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</si>
  <si>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</si>
  <si>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</si>
  <si>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</si>
  <si>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</si>
  <si>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</si>
  <si>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</si>
  <si>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</si>
  <si>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</si>
  <si>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</si>
  <si>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</si>
  <si>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</si>
  <si>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</si>
  <si>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</si>
  <si>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</si>
  <si>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</si>
  <si>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</si>
  <si>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</si>
  <si>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</si>
  <si>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</si>
  <si>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</si>
  <si>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</si>
  <si>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</si>
  <si>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</si>
  <si>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</si>
  <si>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</si>
  <si>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</si>
  <si>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</si>
  <si>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</si>
  <si>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</si>
  <si>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</si>
  <si>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</si>
  <si>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</si>
  <si>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</si>
  <si>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</si>
  <si>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</si>
  <si>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</si>
  <si>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</si>
  <si>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</si>
  <si>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</si>
  <si>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</si>
  <si>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</si>
  <si>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</si>
  <si>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</si>
  <si>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</si>
  <si>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</si>
  <si>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</si>
  <si>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</si>
  <si>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</si>
  <si>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</si>
  <si>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</si>
  <si>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</si>
  <si>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</si>
  <si>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</si>
  <si>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</si>
  <si>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</si>
  <si>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</si>
  <si>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</si>
  <si>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</si>
  <si>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</si>
  <si>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</si>
  <si>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</si>
  <si>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</si>
  <si>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</si>
  <si>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</si>
  <si>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</si>
  <si>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</si>
  <si>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</si>
  <si>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</si>
  <si>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</si>
  <si>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</si>
  <si>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</si>
  <si>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</si>
  <si>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</si>
  <si>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</si>
  <si>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</si>
  <si>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</si>
  <si>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</si>
  <si>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</si>
  <si>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</si>
  <si>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</si>
  <si>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</si>
  <si>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</si>
  <si>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</si>
  <si>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</si>
  <si>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</si>
  <si>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</si>
  <si>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</si>
  <si>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</si>
  <si>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</si>
  <si>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</si>
  <si>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</si>
  <si>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</si>
  <si>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</si>
  <si>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</si>
  <si>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</si>
  <si>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</si>
  <si>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</si>
  <si>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</si>
  <si>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</si>
  <si>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</si>
  <si>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</si>
  <si>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</si>
  <si>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</si>
  <si>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</si>
  <si>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</si>
  <si>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</si>
  <si>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</si>
  <si>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</si>
  <si>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</si>
  <si>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</si>
  <si>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</si>
  <si>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</si>
  <si>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</si>
  <si>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</si>
  <si>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</si>
  <si>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</si>
  <si>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</si>
  <si>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</si>
  <si>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</si>
  <si>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</si>
  <si>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</si>
  <si>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</si>
  <si>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</si>
  <si>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</si>
  <si>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</si>
  <si>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</si>
  <si>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</si>
  <si>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</si>
  <si>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</si>
  <si>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</si>
  <si>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</si>
  <si>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</si>
  <si>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</si>
  <si>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</si>
  <si>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</si>
  <si>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</si>
  <si>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</si>
  <si>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</si>
  <si>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</si>
  <si>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</si>
  <si>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</si>
  <si>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</si>
  <si>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</si>
  <si>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</si>
  <si>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</si>
  <si>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</si>
  <si>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</si>
  <si>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</si>
  <si>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</si>
  <si>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</si>
  <si>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</si>
  <si>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</si>
  <si>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</si>
  <si>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</si>
  <si>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</si>
  <si>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</si>
  <si>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</si>
  <si>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</si>
  <si>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</si>
  <si>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</si>
  <si>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</si>
  <si>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</si>
  <si>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</si>
  <si>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</si>
  <si>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</si>
  <si>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</si>
  <si>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</si>
  <si>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</si>
  <si>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</si>
  <si>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</si>
  <si>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</si>
  <si>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</si>
  <si>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</si>
  <si>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</si>
  <si>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</si>
  <si>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</si>
  <si>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</si>
  <si>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</si>
  <si>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</si>
  <si>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</si>
  <si>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</si>
  <si>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</si>
  <si>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</si>
  <si>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</si>
  <si>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</si>
  <si>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</si>
  <si>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</si>
  <si>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</si>
  <si>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</si>
  <si>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</si>
  <si>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</si>
  <si>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</si>
  <si>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</si>
  <si>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</si>
  <si>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</si>
  <si>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</si>
  <si>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</si>
  <si>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</si>
  <si>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</si>
  <si>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</si>
  <si>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</si>
  <si>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</si>
  <si>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</si>
  <si>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</si>
  <si>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</si>
  <si>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</si>
  <si>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</si>
  <si>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</si>
  <si>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</si>
  <si>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</si>
  <si>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</si>
  <si>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</si>
  <si>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</si>
  <si>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</si>
  <si>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</si>
  <si>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</si>
  <si>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</si>
  <si>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</si>
  <si>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</si>
  <si>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</si>
  <si>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</si>
  <si>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</si>
  <si>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</si>
  <si>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</si>
  <si>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</si>
  <si>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</si>
  <si>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</si>
  <si>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</si>
  <si>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</si>
  <si>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</si>
  <si>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</si>
  <si>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</si>
  <si>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</si>
  <si>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</si>
  <si>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</si>
  <si>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</si>
  <si>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</si>
  <si>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</si>
  <si>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</si>
  <si>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</si>
  <si>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</si>
  <si>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</si>
  <si>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</si>
  <si>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</si>
  <si>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</si>
  <si>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</si>
  <si>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</si>
  <si>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</si>
  <si>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</si>
  <si>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</si>
  <si>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</si>
  <si>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</si>
  <si>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</si>
  <si>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</si>
  <si>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</si>
  <si>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</si>
  <si>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</si>
  <si>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</si>
  <si>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</si>
  <si>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</si>
  <si>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</si>
  <si>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</si>
  <si>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</si>
  <si>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</si>
  <si>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</si>
  <si>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</si>
  <si>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</si>
  <si>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</si>
  <si>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</si>
  <si>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</si>
  <si>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</si>
  <si>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</si>
  <si>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</si>
  <si>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</si>
  <si>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</si>
  <si>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</si>
  <si>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</si>
  <si>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</si>
  <si>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</si>
  <si>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</si>
  <si>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</si>
  <si>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</si>
  <si>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</si>
  <si>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</si>
  <si>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</si>
  <si>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</si>
  <si>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</si>
  <si>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</si>
  <si>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</si>
  <si>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</si>
  <si>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</si>
  <si>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</si>
  <si>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</si>
  <si>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</si>
  <si>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</si>
  <si>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</si>
  <si>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</si>
  <si>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</si>
  <si>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</si>
  <si>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</si>
  <si>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</si>
  <si>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</si>
  <si>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</si>
  <si>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</si>
  <si>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</si>
  <si>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</si>
  <si>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</si>
  <si>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</si>
  <si>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</si>
  <si>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</si>
  <si>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</si>
  <si>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</si>
  <si>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</si>
  <si>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</si>
  <si>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</si>
  <si>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</si>
  <si>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</si>
  <si>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</si>
  <si>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</si>
  <si>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</si>
  <si>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</si>
  <si>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</si>
  <si>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</si>
  <si>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</si>
  <si>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</si>
  <si>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</si>
  <si>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</si>
  <si>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</si>
  <si>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</si>
  <si>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</si>
  <si>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</si>
  <si>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</si>
  <si>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</si>
  <si>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</si>
  <si>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</si>
  <si>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</si>
  <si>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</si>
  <si>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</si>
  <si>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</si>
  <si>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</si>
  <si>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</si>
  <si>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</si>
  <si>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</si>
  <si>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</si>
  <si>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</si>
  <si>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</si>
  <si>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</si>
  <si>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</si>
  <si>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</si>
  <si>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</si>
  <si>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</si>
  <si>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</si>
  <si>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</si>
  <si>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</si>
  <si>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</si>
  <si>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</si>
  <si>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</si>
  <si>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</si>
  <si>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</si>
  <si>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</si>
  <si>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</si>
  <si>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</si>
  <si>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</si>
  <si>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</si>
  <si>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</si>
  <si>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</si>
  <si>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</si>
  <si>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</si>
  <si>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</si>
  <si>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</si>
  <si>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</si>
  <si>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</si>
  <si>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</si>
  <si>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</si>
  <si>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</si>
  <si>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</si>
  <si>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</si>
  <si>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</si>
  <si>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</si>
  <si>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</si>
  <si>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</si>
  <si>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</si>
  <si>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</si>
  <si>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</si>
  <si>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</si>
  <si>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</si>
  <si>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</si>
  <si>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</si>
  <si>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</si>
  <si>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</si>
  <si>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</si>
  <si>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</si>
  <si>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</si>
  <si>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</si>
  <si>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</si>
  <si>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</si>
  <si>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</si>
  <si>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</si>
  <si>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</si>
  <si>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</si>
  <si>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</si>
  <si>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</si>
  <si>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</si>
  <si>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</si>
  <si>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</si>
  <si>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</si>
  <si>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</si>
  <si>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</si>
  <si>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</si>
  <si>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</si>
  <si>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</si>
  <si>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</si>
  <si>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</si>
  <si>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</si>
  <si>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</si>
  <si>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</si>
  <si>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</si>
  <si>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</si>
  <si>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</si>
  <si>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</si>
  <si>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</si>
  <si>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</si>
  <si>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</si>
  <si>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</si>
  <si>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</si>
  <si>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</si>
  <si>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</si>
  <si>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</si>
  <si>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</si>
  <si>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</si>
  <si>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</si>
  <si>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</si>
  <si>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</si>
  <si>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</si>
  <si>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</si>
  <si>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</si>
  <si>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</si>
  <si>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</si>
  <si>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</si>
  <si>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</si>
  <si>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</si>
  <si>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</si>
  <si>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</si>
  <si>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</si>
  <si>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</si>
  <si>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</si>
  <si>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</si>
  <si>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</si>
  <si>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</si>
  <si>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</si>
  <si>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</si>
  <si>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</si>
  <si>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</si>
  <si>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</si>
  <si>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</si>
  <si>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</si>
  <si>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</si>
  <si>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</si>
  <si>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</si>
  <si>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</si>
  <si>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</si>
  <si>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</si>
  <si>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</si>
  <si>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</si>
  <si>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</si>
  <si>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</si>
  <si>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</si>
  <si>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</si>
  <si>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</si>
  <si>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</si>
  <si>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</si>
  <si>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</si>
  <si>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</si>
  <si>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</si>
  <si>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</si>
  <si>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</si>
  <si>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</si>
  <si>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</si>
  <si>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</si>
  <si>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</si>
  <si>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</si>
  <si>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</si>
  <si>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</si>
  <si>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</si>
  <si>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</si>
  <si>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</si>
  <si>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</si>
  <si>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</si>
  <si>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</si>
  <si>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</si>
  <si>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</si>
  <si>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</si>
  <si>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</si>
  <si>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</si>
  <si>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</si>
  <si>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</si>
  <si>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</si>
  <si>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</si>
  <si>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</si>
  <si>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</si>
  <si>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</si>
  <si>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</si>
  <si>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</si>
  <si>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</si>
  <si>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</si>
  <si>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</si>
  <si>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</si>
  <si>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</si>
  <si>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</si>
  <si>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</si>
  <si>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</si>
  <si>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</si>
  <si>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</si>
  <si>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</si>
  <si>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</si>
  <si>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</si>
  <si>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</si>
  <si>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</si>
  <si>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</si>
  <si>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</si>
  <si>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</si>
  <si>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</si>
  <si>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</si>
  <si>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</si>
  <si>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</si>
  <si>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</si>
  <si>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</si>
  <si>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</si>
  <si>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</si>
  <si>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</si>
  <si>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</si>
  <si>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</si>
  <si>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</si>
  <si>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</si>
  <si>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</si>
  <si>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</si>
  <si>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</si>
  <si>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</si>
  <si>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</si>
  <si>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</si>
  <si>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</si>
  <si>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</si>
  <si>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</si>
  <si>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</si>
  <si>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</si>
  <si>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</si>
  <si>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</si>
  <si>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</si>
  <si>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</si>
  <si>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</si>
  <si>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</si>
  <si>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</si>
  <si>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</si>
  <si>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</si>
  <si>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</si>
  <si>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</si>
  <si>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</si>
  <si>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</si>
  <si>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</si>
  <si>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</si>
  <si>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</si>
  <si>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</si>
  <si>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</si>
  <si>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</si>
  <si>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</si>
  <si>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</si>
  <si>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</si>
  <si>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</si>
  <si>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</si>
  <si>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</si>
  <si>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</si>
  <si>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</si>
  <si>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</si>
  <si>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</si>
  <si>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</si>
  <si>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</si>
  <si>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</si>
  <si>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</si>
  <si>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</si>
  <si>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</si>
  <si>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</si>
  <si>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</si>
  <si>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</si>
  <si>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</si>
  <si>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</si>
  <si>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</si>
  <si>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</si>
  <si>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</si>
  <si>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</si>
  <si>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</si>
  <si>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</si>
  <si>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</si>
  <si>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</si>
  <si>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</si>
  <si>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</si>
  <si>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</si>
  <si>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</si>
  <si>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</si>
  <si>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</si>
  <si>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</si>
  <si>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</si>
  <si>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</si>
  <si>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</si>
  <si>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</si>
  <si>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</si>
  <si>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</si>
  <si>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</si>
  <si>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</si>
  <si>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</si>
  <si>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</si>
  <si>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</si>
  <si>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</si>
  <si>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</si>
  <si>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</si>
  <si>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</si>
  <si>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</si>
  <si>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</si>
  <si>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</si>
  <si>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</si>
  <si>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</si>
  <si>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</si>
  <si>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</si>
  <si>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</si>
  <si>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</si>
  <si>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</si>
  <si>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</si>
  <si>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</si>
  <si>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</si>
  <si>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</si>
  <si>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</si>
  <si>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</si>
  <si>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</si>
  <si>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</si>
  <si>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</si>
  <si>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</si>
  <si>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</si>
  <si>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</si>
  <si>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</si>
  <si>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</si>
  <si>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</si>
  <si>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</si>
  <si>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</si>
  <si>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</si>
  <si>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</si>
  <si>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</si>
  <si>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</si>
  <si>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</si>
  <si>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</si>
  <si>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</si>
  <si>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</si>
  <si>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</si>
  <si>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</si>
  <si>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</si>
  <si>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</si>
  <si>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</si>
  <si>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</si>
  <si>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</si>
  <si>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</si>
  <si>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</si>
  <si>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</si>
  <si>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</si>
  <si>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</si>
  <si>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</si>
  <si>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</si>
  <si>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</si>
  <si>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</si>
  <si>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</si>
  <si>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</si>
  <si>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</si>
  <si>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</si>
  <si>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</si>
  <si>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</si>
  <si>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</si>
  <si>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</si>
  <si>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</si>
  <si>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</si>
  <si>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</si>
  <si>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</si>
  <si>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</si>
  <si>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</si>
  <si>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</si>
  <si>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</si>
  <si>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</si>
  <si>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</si>
  <si>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</si>
  <si>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</si>
  <si>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</si>
  <si>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</si>
  <si>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</si>
  <si>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</si>
  <si>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</si>
  <si>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</si>
  <si>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</si>
  <si>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</si>
  <si>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</si>
  <si>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</si>
  <si>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</si>
  <si>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</si>
  <si>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</si>
  <si>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</si>
  <si>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</si>
  <si>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</si>
  <si>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</si>
  <si>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</si>
  <si>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</si>
  <si>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</si>
  <si>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</si>
  <si>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</si>
  <si>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</si>
  <si>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</si>
  <si>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</si>
  <si>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</si>
  <si>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</si>
  <si>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</si>
  <si>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</si>
  <si>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</si>
  <si>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</si>
  <si>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</si>
  <si>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</si>
  <si>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</si>
  <si>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</si>
  <si>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</si>
  <si>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</si>
  <si>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</si>
  <si>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</si>
  <si>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</si>
  <si>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</si>
  <si>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</si>
  <si>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</si>
  <si>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</si>
  <si>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</si>
  <si>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</si>
  <si>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</si>
  <si>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</si>
  <si>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</si>
  <si>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</si>
  <si>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</si>
  <si>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</si>
  <si>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</si>
  <si>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</si>
  <si>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</si>
  <si>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</si>
  <si>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</si>
  <si>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</si>
  <si>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</si>
  <si>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</si>
  <si>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</si>
  <si>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</si>
  <si>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</si>
  <si>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</si>
  <si>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</si>
  <si>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</si>
  <si>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</si>
  <si>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</si>
  <si>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</si>
  <si>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</si>
  <si>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</si>
  <si>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</si>
  <si>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</si>
  <si>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</si>
  <si>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</si>
  <si>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</si>
  <si>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</si>
  <si>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</si>
  <si>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</si>
  <si>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</si>
  <si>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</si>
  <si>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</si>
  <si>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</si>
  <si>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</si>
  <si>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</si>
  <si>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</si>
  <si>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</si>
  <si>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</si>
  <si>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</si>
  <si>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</si>
  <si>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</si>
  <si>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</si>
  <si>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</si>
  <si>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</si>
  <si>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</si>
  <si>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</si>
  <si>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</si>
  <si>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</si>
  <si>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</si>
  <si>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</si>
  <si>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</si>
  <si>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</si>
  <si>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</si>
  <si>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</si>
  <si>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</si>
  <si>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</si>
  <si>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</si>
  <si>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</si>
  <si>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</si>
  <si>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</si>
  <si>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</si>
  <si>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</si>
  <si>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</si>
  <si>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</si>
  <si>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</si>
  <si>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</si>
  <si>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</si>
  <si>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</si>
  <si>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</si>
  <si>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</si>
  <si>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</si>
  <si>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</si>
  <si>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</si>
  <si>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</si>
  <si>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</si>
  <si>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</si>
  <si>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</si>
  <si>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</si>
  <si>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</si>
  <si>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</si>
  <si>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</si>
  <si>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</si>
  <si>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</si>
  <si>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</si>
  <si>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</si>
  <si>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</si>
  <si>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</si>
  <si>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</si>
  <si>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</si>
  <si>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</si>
  <si>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</si>
  <si>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</si>
  <si>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</si>
  <si>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</si>
  <si>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</si>
  <si>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</si>
  <si>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</si>
  <si>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</si>
  <si>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</si>
  <si>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</si>
  <si>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</si>
  <si>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</si>
  <si>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</si>
  <si>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</si>
  <si>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</si>
  <si>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</si>
  <si>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</si>
  <si>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</si>
  <si>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</si>
  <si>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</si>
  <si>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</si>
  <si>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</si>
  <si>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</si>
  <si>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</si>
  <si>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</si>
  <si>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</si>
  <si>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</si>
  <si>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</si>
  <si>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</si>
  <si>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</si>
  <si>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</si>
  <si>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08/01</t>
  </si>
  <si>
    <t>08/16</t>
  </si>
  <si>
    <t>The other revenue is mostly due to the Heatlh Trust refund and the Preschool Surplus that was returned to the District</t>
  </si>
  <si>
    <t>Northwood School Distict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</si>
</sst>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621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914</v>
      </c>
      <c r="B2" s="21">
        <v>411</v>
      </c>
      <c r="C2" s="21">
        <v>411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1423812.28</v>
      </c>
      <c r="G9" s="18">
        <v>50</v>
      </c>
      <c r="H9" s="18"/>
      <c r="I9" s="18"/>
      <c r="J9" s="67">
        <f>SUM(I439)</f>
        <v>164261.28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14323.46</v>
      </c>
      <c r="G13" s="18">
        <v>4425.43</v>
      </c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2489.89+13023.46+244.44-14323.46</f>
        <v>1434.33</v>
      </c>
      <c r="G14" s="18">
        <v>2401.0100000000002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2935.13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1439570.07</v>
      </c>
      <c r="G19" s="41">
        <f>SUM(G9:G18)</f>
        <v>9811.57</v>
      </c>
      <c r="H19" s="41">
        <f>SUM(H9:H18)</f>
        <v>0</v>
      </c>
      <c r="I19" s="41">
        <f>SUM(I9:I18)</f>
        <v>0</v>
      </c>
      <c r="J19" s="41">
        <f>SUM(J9:J18)</f>
        <v>164261.28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12445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55346.03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331874.68-7542.9-7188.78</f>
        <v>317142.99999999994</v>
      </c>
      <c r="G24" s="18">
        <f>46.34+2286.96+4675.88-65.94-66.8</f>
        <v>6876.4400000000005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32+75301.1+545.09-84.87-35.08-8.18+11393.3-2365.49-2875.25+0.13-422.74+1756.26-6456.23</f>
        <v>76780.040000000008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449269.06999999995</v>
      </c>
      <c r="G32" s="41">
        <f>SUM(G22:G31)</f>
        <v>6876.4400000000005</v>
      </c>
      <c r="H32" s="41">
        <f>SUM(H22:H31)</f>
        <v>0</v>
      </c>
      <c r="I32" s="41">
        <f>SUM(I22:I31)</f>
        <v>0</v>
      </c>
      <c r="J32" s="41">
        <f>SUM(J22:J31)</f>
        <v>12445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2935.13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121000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216047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151816.28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653254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990301</v>
      </c>
      <c r="G51" s="41">
        <f>SUM(G35:G50)</f>
        <v>2935.13</v>
      </c>
      <c r="H51" s="41">
        <f>SUM(H35:H50)</f>
        <v>0</v>
      </c>
      <c r="I51" s="41">
        <f>SUM(I35:I50)</f>
        <v>0</v>
      </c>
      <c r="J51" s="41">
        <f>SUM(J35:J50)</f>
        <v>151816.28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1439570.0699999998</v>
      </c>
      <c r="G52" s="41">
        <f>G51+G32</f>
        <v>9811.57</v>
      </c>
      <c r="H52" s="41">
        <f>H51+H32</f>
        <v>0</v>
      </c>
      <c r="I52" s="41">
        <f>I51+I32</f>
        <v>0</v>
      </c>
      <c r="J52" s="41">
        <f>J51+J32</f>
        <v>164261.28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7667588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7667588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7711.62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7711.62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1129.4100000000001</v>
      </c>
      <c r="G96" s="18"/>
      <c r="H96" s="18"/>
      <c r="I96" s="18"/>
      <c r="J96" s="18">
        <v>9.7100000000000009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55401.96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23082.7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183563.68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207775.78999999998</v>
      </c>
      <c r="G111" s="41">
        <f>SUM(G96:G110)</f>
        <v>55401.96</v>
      </c>
      <c r="H111" s="41">
        <f>SUM(H96:H110)</f>
        <v>0</v>
      </c>
      <c r="I111" s="41">
        <f>SUM(I96:I110)</f>
        <v>0</v>
      </c>
      <c r="J111" s="41">
        <f>SUM(J96:J110)</f>
        <v>9.7100000000000009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7883075.4100000001</v>
      </c>
      <c r="G112" s="41">
        <f>G60+G111</f>
        <v>55401.96</v>
      </c>
      <c r="H112" s="41">
        <f>H60+H79+H94+H111</f>
        <v>0</v>
      </c>
      <c r="I112" s="41">
        <f>I60+I111</f>
        <v>0</v>
      </c>
      <c r="J112" s="41">
        <f>J60+J111</f>
        <v>9.7100000000000009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2262659.4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1173958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3436617.4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87814.28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188021.33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2086.64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275835.61</v>
      </c>
      <c r="G136" s="41">
        <f>SUM(G123:G135)</f>
        <v>2086.64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3712453.01</v>
      </c>
      <c r="G140" s="41">
        <f>G121+SUM(G136:G137)</f>
        <v>2086.64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50306.18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172573.79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172573.79</v>
      </c>
      <c r="G162" s="41">
        <f>SUM(G150:G161)</f>
        <v>50306.18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172573.79</v>
      </c>
      <c r="G169" s="41">
        <f>G147+G162+SUM(G163:G168)</f>
        <v>50306.18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35492.69</v>
      </c>
      <c r="H179" s="18"/>
      <c r="I179" s="18"/>
      <c r="J179" s="18">
        <v>121000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35492.69</v>
      </c>
      <c r="H183" s="41">
        <f>SUM(H179:H182)</f>
        <v>0</v>
      </c>
      <c r="I183" s="41">
        <f>SUM(I179:I182)</f>
        <v>0</v>
      </c>
      <c r="J183" s="41">
        <f>SUM(J179:J182)</f>
        <v>121000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35492.69</v>
      </c>
      <c r="H192" s="41">
        <f>+H183+SUM(H188:H191)</f>
        <v>0</v>
      </c>
      <c r="I192" s="41">
        <f>I177+I183+SUM(I188:I191)</f>
        <v>0</v>
      </c>
      <c r="J192" s="41">
        <f>J183</f>
        <v>121000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11768102.209999999</v>
      </c>
      <c r="G193" s="47">
        <f>G112+G140+G169+G192</f>
        <v>143287.47</v>
      </c>
      <c r="H193" s="47">
        <f>H112+H140+H169+H192</f>
        <v>0</v>
      </c>
      <c r="I193" s="47">
        <f>I112+I140+I169+I192</f>
        <v>0</v>
      </c>
      <c r="J193" s="47">
        <f>J112+J140+J192</f>
        <v>121009.71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1461691.87</v>
      </c>
      <c r="G197" s="18">
        <v>805043.88</v>
      </c>
      <c r="H197" s="18">
        <v>7976.02</v>
      </c>
      <c r="I197" s="18">
        <v>65696.800000000003</v>
      </c>
      <c r="J197" s="18">
        <v>14711.27</v>
      </c>
      <c r="K197" s="18">
        <v>0</v>
      </c>
      <c r="L197" s="19">
        <f>SUM(F197:K197)</f>
        <v>2355119.84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694558.28</v>
      </c>
      <c r="G198" s="18">
        <v>406721.59</v>
      </c>
      <c r="H198" s="18">
        <v>553469.99</v>
      </c>
      <c r="I198" s="18">
        <v>13222.34</v>
      </c>
      <c r="J198" s="18">
        <v>1368.82</v>
      </c>
      <c r="K198" s="18">
        <v>15522.46</v>
      </c>
      <c r="L198" s="19">
        <f>SUM(F198:K198)</f>
        <v>1684863.4800000002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32269</v>
      </c>
      <c r="G200" s="18">
        <v>4659.83</v>
      </c>
      <c r="H200" s="18">
        <v>9808</v>
      </c>
      <c r="I200" s="18">
        <v>3298.7</v>
      </c>
      <c r="J200" s="18">
        <v>0</v>
      </c>
      <c r="K200" s="18">
        <v>200</v>
      </c>
      <c r="L200" s="19">
        <f>SUM(F200:K200)</f>
        <v>50235.53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137500.26999999999</v>
      </c>
      <c r="G202" s="18">
        <v>92221.31</v>
      </c>
      <c r="H202" s="18">
        <v>83405.86</v>
      </c>
      <c r="I202" s="18">
        <v>1097.5999999999999</v>
      </c>
      <c r="J202" s="18">
        <v>1054.5</v>
      </c>
      <c r="K202" s="18">
        <v>328</v>
      </c>
      <c r="L202" s="19">
        <f t="shared" ref="L202:L208" si="0">SUM(F202:K202)</f>
        <v>315607.53999999998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137180.26</v>
      </c>
      <c r="G203" s="18">
        <v>88512.28</v>
      </c>
      <c r="H203" s="18">
        <v>24048.17</v>
      </c>
      <c r="I203" s="18">
        <v>30334.15</v>
      </c>
      <c r="J203" s="18">
        <v>164506.09</v>
      </c>
      <c r="K203" s="18">
        <v>0</v>
      </c>
      <c r="L203" s="19">
        <f t="shared" si="0"/>
        <v>444580.95000000007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8566.4500000000007</v>
      </c>
      <c r="G204" s="18">
        <v>845.27</v>
      </c>
      <c r="H204" s="18">
        <v>249992.08</v>
      </c>
      <c r="I204" s="18">
        <v>127.83</v>
      </c>
      <c r="J204" s="18">
        <v>0</v>
      </c>
      <c r="K204" s="18">
        <v>4215.5600000000004</v>
      </c>
      <c r="L204" s="19">
        <f t="shared" si="0"/>
        <v>263747.19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202067.68</v>
      </c>
      <c r="G205" s="18">
        <v>118132.38</v>
      </c>
      <c r="H205" s="18">
        <v>21717.25</v>
      </c>
      <c r="I205" s="18">
        <v>2318.38</v>
      </c>
      <c r="J205" s="18">
        <v>551.6</v>
      </c>
      <c r="K205" s="18">
        <v>3589.22</v>
      </c>
      <c r="L205" s="19">
        <f t="shared" si="0"/>
        <v>348376.50999999995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123017.26</v>
      </c>
      <c r="G207" s="18">
        <v>51650.46</v>
      </c>
      <c r="H207" s="18">
        <v>133816.18</v>
      </c>
      <c r="I207" s="18">
        <v>164475.32</v>
      </c>
      <c r="J207" s="18">
        <v>4891.8500000000004</v>
      </c>
      <c r="K207" s="18">
        <v>0</v>
      </c>
      <c r="L207" s="19">
        <f t="shared" si="0"/>
        <v>477851.07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0</v>
      </c>
      <c r="G208" s="18">
        <v>0</v>
      </c>
      <c r="H208" s="18">
        <v>420243.28</v>
      </c>
      <c r="I208" s="18">
        <v>0</v>
      </c>
      <c r="J208" s="18">
        <v>0</v>
      </c>
      <c r="K208" s="18">
        <v>0</v>
      </c>
      <c r="L208" s="19">
        <f t="shared" si="0"/>
        <v>420243.28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2796851.0700000008</v>
      </c>
      <c r="G211" s="41">
        <f t="shared" si="1"/>
        <v>1567787</v>
      </c>
      <c r="H211" s="41">
        <f t="shared" si="1"/>
        <v>1504476.83</v>
      </c>
      <c r="I211" s="41">
        <f t="shared" si="1"/>
        <v>280571.12</v>
      </c>
      <c r="J211" s="41">
        <f t="shared" si="1"/>
        <v>187084.13</v>
      </c>
      <c r="K211" s="41">
        <f t="shared" si="1"/>
        <v>23855.24</v>
      </c>
      <c r="L211" s="41">
        <f t="shared" si="1"/>
        <v>6360625.3900000006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3366746.97</v>
      </c>
      <c r="I233" s="18"/>
      <c r="J233" s="18"/>
      <c r="K233" s="18"/>
      <c r="L233" s="19">
        <f>SUM(F233:K233)</f>
        <v>3366746.97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f>866181.54+3553.82</f>
        <v>869735.36</v>
      </c>
      <c r="I234" s="18"/>
      <c r="J234" s="18"/>
      <c r="K234" s="18"/>
      <c r="L234" s="19">
        <f>SUM(F234:K234)</f>
        <v>869735.36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5031.09</v>
      </c>
      <c r="G240" s="18">
        <v>496.43</v>
      </c>
      <c r="H240" s="18">
        <v>146820.74</v>
      </c>
      <c r="I240" s="18">
        <v>75.069999999999993</v>
      </c>
      <c r="J240" s="18">
        <v>0</v>
      </c>
      <c r="K240" s="18">
        <v>2475.81</v>
      </c>
      <c r="L240" s="19">
        <f t="shared" si="4"/>
        <v>154899.13999999998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178434.72</v>
      </c>
      <c r="I244" s="18"/>
      <c r="J244" s="18"/>
      <c r="K244" s="18"/>
      <c r="L244" s="19">
        <f t="shared" si="4"/>
        <v>178434.72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5031.09</v>
      </c>
      <c r="G247" s="41">
        <f t="shared" si="5"/>
        <v>496.43</v>
      </c>
      <c r="H247" s="41">
        <f t="shared" si="5"/>
        <v>4561737.79</v>
      </c>
      <c r="I247" s="41">
        <f t="shared" si="5"/>
        <v>75.069999999999993</v>
      </c>
      <c r="J247" s="41">
        <f t="shared" si="5"/>
        <v>0</v>
      </c>
      <c r="K247" s="41">
        <f t="shared" si="5"/>
        <v>2475.81</v>
      </c>
      <c r="L247" s="41">
        <f t="shared" si="5"/>
        <v>4569816.1899999995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2801882.1600000006</v>
      </c>
      <c r="G257" s="41">
        <f t="shared" si="8"/>
        <v>1568283.43</v>
      </c>
      <c r="H257" s="41">
        <f t="shared" si="8"/>
        <v>6066214.6200000001</v>
      </c>
      <c r="I257" s="41">
        <f t="shared" si="8"/>
        <v>280646.19</v>
      </c>
      <c r="J257" s="41">
        <f t="shared" si="8"/>
        <v>187084.13</v>
      </c>
      <c r="K257" s="41">
        <f t="shared" si="8"/>
        <v>26331.050000000003</v>
      </c>
      <c r="L257" s="41">
        <f t="shared" si="8"/>
        <v>10930441.58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290000</v>
      </c>
      <c r="L260" s="19">
        <f>SUM(F260:K260)</f>
        <v>290000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22065.25</v>
      </c>
      <c r="L261" s="19">
        <f>SUM(F261:K261)</f>
        <v>22065.25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35492.69</v>
      </c>
      <c r="L263" s="19">
        <f>SUM(F263:K263)</f>
        <v>35492.69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121000</v>
      </c>
      <c r="L266" s="19">
        <f t="shared" si="9"/>
        <v>121000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468557.94</v>
      </c>
      <c r="L270" s="41">
        <f t="shared" si="9"/>
        <v>468557.94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2801882.1600000006</v>
      </c>
      <c r="G271" s="42">
        <f t="shared" si="11"/>
        <v>1568283.43</v>
      </c>
      <c r="H271" s="42">
        <f t="shared" si="11"/>
        <v>6066214.6200000001</v>
      </c>
      <c r="I271" s="42">
        <f t="shared" si="11"/>
        <v>280646.19</v>
      </c>
      <c r="J271" s="42">
        <f t="shared" si="11"/>
        <v>187084.13</v>
      </c>
      <c r="K271" s="42">
        <f t="shared" si="11"/>
        <v>494888.99</v>
      </c>
      <c r="L271" s="42">
        <f t="shared" si="11"/>
        <v>11398999.52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71012.149999999994</v>
      </c>
      <c r="G358" s="18">
        <v>14726.91</v>
      </c>
      <c r="H358" s="18">
        <v>3619.32</v>
      </c>
      <c r="I358" s="18">
        <v>46380.63</v>
      </c>
      <c r="J358" s="18">
        <v>4613.33</v>
      </c>
      <c r="K358" s="18">
        <v>0</v>
      </c>
      <c r="L358" s="13">
        <f>SUM(F358:K358)</f>
        <v>140352.34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71012.149999999994</v>
      </c>
      <c r="G362" s="47">
        <f t="shared" si="22"/>
        <v>14726.91</v>
      </c>
      <c r="H362" s="47">
        <f t="shared" si="22"/>
        <v>3619.32</v>
      </c>
      <c r="I362" s="47">
        <f t="shared" si="22"/>
        <v>46380.63</v>
      </c>
      <c r="J362" s="47">
        <f t="shared" si="22"/>
        <v>4613.33</v>
      </c>
      <c r="K362" s="47">
        <f t="shared" si="22"/>
        <v>0</v>
      </c>
      <c r="L362" s="47">
        <f t="shared" si="22"/>
        <v>140352.34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42575.97</v>
      </c>
      <c r="G367" s="18"/>
      <c r="H367" s="18"/>
      <c r="I367" s="56">
        <f>SUM(F367:H367)</f>
        <v>42575.97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3804.66</v>
      </c>
      <c r="G368" s="63"/>
      <c r="H368" s="63"/>
      <c r="I368" s="56">
        <f>SUM(F368:H368)</f>
        <v>3804.66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46380.630000000005</v>
      </c>
      <c r="G369" s="47">
        <f>SUM(G367:G368)</f>
        <v>0</v>
      </c>
      <c r="H369" s="47">
        <f>SUM(H367:H368)</f>
        <v>0</v>
      </c>
      <c r="I369" s="47">
        <f>SUM(I367:I368)</f>
        <v>46380.630000000005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25000</v>
      </c>
      <c r="H396" s="18">
        <f>5.32</f>
        <v>5.32</v>
      </c>
      <c r="I396" s="18"/>
      <c r="J396" s="24" t="s">
        <v>289</v>
      </c>
      <c r="K396" s="24" t="s">
        <v>289</v>
      </c>
      <c r="L396" s="56">
        <f t="shared" si="26"/>
        <v>25005.32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25000</v>
      </c>
      <c r="H397" s="18">
        <v>1.46</v>
      </c>
      <c r="I397" s="18"/>
      <c r="J397" s="24" t="s">
        <v>289</v>
      </c>
      <c r="K397" s="24" t="s">
        <v>289</v>
      </c>
      <c r="L397" s="56">
        <f t="shared" si="26"/>
        <v>25001.46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56000</v>
      </c>
      <c r="H398" s="18">
        <v>2.92</v>
      </c>
      <c r="I398" s="18"/>
      <c r="J398" s="24" t="s">
        <v>289</v>
      </c>
      <c r="K398" s="24" t="s">
        <v>289</v>
      </c>
      <c r="L398" s="56">
        <f t="shared" si="26"/>
        <v>56002.92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15000</v>
      </c>
      <c r="H400" s="18">
        <v>0.01</v>
      </c>
      <c r="I400" s="18"/>
      <c r="J400" s="24" t="s">
        <v>289</v>
      </c>
      <c r="K400" s="24" t="s">
        <v>289</v>
      </c>
      <c r="L400" s="56">
        <f t="shared" si="26"/>
        <v>15000.01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121000</v>
      </c>
      <c r="H401" s="47">
        <f>SUM(H395:H400)</f>
        <v>9.7099999999999991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121009.70999999999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121000</v>
      </c>
      <c r="H408" s="47">
        <f>H393+H401+H407</f>
        <v>9.7099999999999991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121009.70999999999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>
        <v>12445</v>
      </c>
      <c r="I422" s="18"/>
      <c r="J422" s="18"/>
      <c r="K422" s="18"/>
      <c r="L422" s="56">
        <f t="shared" si="29"/>
        <v>12445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12445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12445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12445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12445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164261.28</v>
      </c>
      <c r="G439" s="18"/>
      <c r="H439" s="18"/>
      <c r="I439" s="56">
        <f t="shared" ref="I439:I445" si="33">SUM(F439:H439)</f>
        <v>164261.28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164261.28</v>
      </c>
      <c r="G446" s="13">
        <f>SUM(G439:G445)</f>
        <v>0</v>
      </c>
      <c r="H446" s="13">
        <f>SUM(H439:H445)</f>
        <v>0</v>
      </c>
      <c r="I446" s="13">
        <f>SUM(I439:I445)</f>
        <v>164261.28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>
        <v>12445</v>
      </c>
      <c r="G448" s="18"/>
      <c r="H448" s="18"/>
      <c r="I448" s="56">
        <f>SUM(F448:H448)</f>
        <v>12445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12445</v>
      </c>
      <c r="G452" s="72">
        <f>SUM(G448:G451)</f>
        <v>0</v>
      </c>
      <c r="H452" s="72">
        <f>SUM(H448:H451)</f>
        <v>0</v>
      </c>
      <c r="I452" s="72">
        <f>SUM(I448:I451)</f>
        <v>12445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151816.28</v>
      </c>
      <c r="G459" s="18"/>
      <c r="H459" s="18"/>
      <c r="I459" s="56">
        <f t="shared" si="34"/>
        <v>151816.28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151816.28</v>
      </c>
      <c r="G460" s="83">
        <f>SUM(G454:G459)</f>
        <v>0</v>
      </c>
      <c r="H460" s="83">
        <f>SUM(H454:H459)</f>
        <v>0</v>
      </c>
      <c r="I460" s="83">
        <f>SUM(I454:I459)</f>
        <v>151816.28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164261.28</v>
      </c>
      <c r="G461" s="42">
        <f>G452+G460</f>
        <v>0</v>
      </c>
      <c r="H461" s="42">
        <f>H452+H460</f>
        <v>0</v>
      </c>
      <c r="I461" s="42">
        <f>I452+I460</f>
        <v>164261.28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621198.31000000006</v>
      </c>
      <c r="G465" s="18">
        <v>0</v>
      </c>
      <c r="H465" s="18"/>
      <c r="I465" s="18"/>
      <c r="J465" s="18">
        <f>30806.57+12445</f>
        <v>43251.57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11768102.210000001</v>
      </c>
      <c r="G468" s="18">
        <v>143287.47</v>
      </c>
      <c r="H468" s="18"/>
      <c r="I468" s="18"/>
      <c r="J468" s="18">
        <f>121009.71</f>
        <v>121009.71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11768102.210000001</v>
      </c>
      <c r="G470" s="53">
        <f>SUM(G468:G469)</f>
        <v>143287.47</v>
      </c>
      <c r="H470" s="53">
        <f>SUM(H468:H469)</f>
        <v>0</v>
      </c>
      <c r="I470" s="53">
        <f>SUM(I468:I469)</f>
        <v>0</v>
      </c>
      <c r="J470" s="53">
        <f>SUM(J468:J469)</f>
        <v>121009.71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11398999.52</v>
      </c>
      <c r="G472" s="18">
        <v>140352.34</v>
      </c>
      <c r="H472" s="18"/>
      <c r="I472" s="18"/>
      <c r="J472" s="18">
        <v>12445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11398999.52</v>
      </c>
      <c r="G474" s="53">
        <f>SUM(G472:G473)</f>
        <v>140352.34</v>
      </c>
      <c r="H474" s="53">
        <f>SUM(H472:H473)</f>
        <v>0</v>
      </c>
      <c r="I474" s="53">
        <f>SUM(I472:I473)</f>
        <v>0</v>
      </c>
      <c r="J474" s="53">
        <f>SUM(J472:J473)</f>
        <v>12445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990301.00000000186</v>
      </c>
      <c r="G476" s="53">
        <f>(G465+G470)- G474</f>
        <v>2935.1300000000047</v>
      </c>
      <c r="H476" s="53">
        <f>(H465+H470)- H474</f>
        <v>0</v>
      </c>
      <c r="I476" s="53">
        <f>(I465+I470)- I474</f>
        <v>0</v>
      </c>
      <c r="J476" s="53">
        <f>(J465+J470)- J474</f>
        <v>151816.28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15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912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4370000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4.5999999999999996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870000</v>
      </c>
      <c r="G495" s="18"/>
      <c r="H495" s="18"/>
      <c r="I495" s="18"/>
      <c r="J495" s="18"/>
      <c r="K495" s="53">
        <f>SUM(F495:J495)</f>
        <v>870000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290000</v>
      </c>
      <c r="G497" s="18"/>
      <c r="H497" s="18"/>
      <c r="I497" s="18"/>
      <c r="J497" s="18"/>
      <c r="K497" s="53">
        <f t="shared" si="35"/>
        <v>290000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580000</v>
      </c>
      <c r="G498" s="204"/>
      <c r="H498" s="204"/>
      <c r="I498" s="204"/>
      <c r="J498" s="204"/>
      <c r="K498" s="205">
        <f t="shared" si="35"/>
        <v>580000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15431.5</v>
      </c>
      <c r="G499" s="18"/>
      <c r="H499" s="18"/>
      <c r="I499" s="18"/>
      <c r="J499" s="18"/>
      <c r="K499" s="53">
        <f t="shared" si="35"/>
        <v>15431.5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595431.5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595431.5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290000</v>
      </c>
      <c r="G501" s="204"/>
      <c r="H501" s="204"/>
      <c r="I501" s="204"/>
      <c r="J501" s="204"/>
      <c r="K501" s="205">
        <f t="shared" si="35"/>
        <v>290000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8471.5</v>
      </c>
      <c r="G502" s="18"/>
      <c r="H502" s="18"/>
      <c r="I502" s="18"/>
      <c r="J502" s="18"/>
      <c r="K502" s="53">
        <f t="shared" si="35"/>
        <v>8471.5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298471.5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298471.5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694558.28</v>
      </c>
      <c r="G521" s="18">
        <v>406721.59</v>
      </c>
      <c r="H521" s="18">
        <v>553469.99</v>
      </c>
      <c r="I521" s="18">
        <v>13222.34</v>
      </c>
      <c r="J521" s="18">
        <v>1368.82</v>
      </c>
      <c r="K521" s="18">
        <v>15522.46</v>
      </c>
      <c r="L521" s="88">
        <f>SUM(F521:K521)</f>
        <v>1684863.4800000002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869735.36</v>
      </c>
      <c r="I523" s="18"/>
      <c r="J523" s="18"/>
      <c r="K523" s="18"/>
      <c r="L523" s="88">
        <f>SUM(F523:K523)</f>
        <v>869735.36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694558.28</v>
      </c>
      <c r="G524" s="108">
        <f t="shared" ref="G524:L524" si="36">SUM(G521:G523)</f>
        <v>406721.59</v>
      </c>
      <c r="H524" s="108">
        <f t="shared" si="36"/>
        <v>1423205.35</v>
      </c>
      <c r="I524" s="108">
        <f t="shared" si="36"/>
        <v>13222.34</v>
      </c>
      <c r="J524" s="108">
        <f t="shared" si="36"/>
        <v>1368.82</v>
      </c>
      <c r="K524" s="108">
        <f t="shared" si="36"/>
        <v>15522.46</v>
      </c>
      <c r="L524" s="89">
        <f t="shared" si="36"/>
        <v>2554598.8400000003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f>65394.55+23517.11</f>
        <v>88911.66</v>
      </c>
      <c r="I526" s="18"/>
      <c r="J526" s="18"/>
      <c r="K526" s="18"/>
      <c r="L526" s="88">
        <f>SUM(F526:K526)</f>
        <v>88911.66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f>3553.82+25595.49</f>
        <v>29149.31</v>
      </c>
      <c r="I528" s="18"/>
      <c r="J528" s="18"/>
      <c r="K528" s="18"/>
      <c r="L528" s="88">
        <f>SUM(F528:K528)</f>
        <v>29149.31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118060.97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118060.97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f>(317146.11*0.315)*0.63</f>
        <v>62937.645529499998</v>
      </c>
      <c r="I531" s="18"/>
      <c r="J531" s="18"/>
      <c r="K531" s="18"/>
      <c r="L531" s="88">
        <f>SUM(F531:K531)</f>
        <v>62937.645529499998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f>(317146.11*0.315)*0.37</f>
        <v>36963.379120499994</v>
      </c>
      <c r="I533" s="18"/>
      <c r="J533" s="18"/>
      <c r="K533" s="18"/>
      <c r="L533" s="88">
        <f>SUM(F533:K533)</f>
        <v>36963.379120499994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99901.024649999992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99901.024649999992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4948.57</v>
      </c>
      <c r="G541" s="18">
        <v>373.52</v>
      </c>
      <c r="H541" s="18">
        <v>117229</v>
      </c>
      <c r="I541" s="18"/>
      <c r="J541" s="18"/>
      <c r="K541" s="18"/>
      <c r="L541" s="88">
        <f>SUM(F541:K541)</f>
        <v>122551.09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6813.75</v>
      </c>
      <c r="G543" s="18">
        <v>521.28</v>
      </c>
      <c r="H543" s="18">
        <v>45582.58</v>
      </c>
      <c r="I543" s="18"/>
      <c r="J543" s="18"/>
      <c r="K543" s="18"/>
      <c r="L543" s="88">
        <f>SUM(F543:K543)</f>
        <v>52917.61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11762.32</v>
      </c>
      <c r="G544" s="193">
        <f t="shared" ref="G544:L544" si="40">SUM(G541:G543)</f>
        <v>894.8</v>
      </c>
      <c r="H544" s="193">
        <f t="shared" si="40"/>
        <v>162811.58000000002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175468.7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706320.6</v>
      </c>
      <c r="G545" s="89">
        <f t="shared" ref="G545:L545" si="41">G524+G529+G534+G539+G544</f>
        <v>407616.39</v>
      </c>
      <c r="H545" s="89">
        <f t="shared" si="41"/>
        <v>1803978.9246500002</v>
      </c>
      <c r="I545" s="89">
        <f t="shared" si="41"/>
        <v>13222.34</v>
      </c>
      <c r="J545" s="89">
        <f t="shared" si="41"/>
        <v>1368.82</v>
      </c>
      <c r="K545" s="89">
        <f t="shared" si="41"/>
        <v>15522.46</v>
      </c>
      <c r="L545" s="89">
        <f t="shared" si="41"/>
        <v>2948029.5346500007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1684863.4800000002</v>
      </c>
      <c r="G549" s="87">
        <f>L526</f>
        <v>88911.66</v>
      </c>
      <c r="H549" s="87">
        <f>L531</f>
        <v>62937.645529499998</v>
      </c>
      <c r="I549" s="87">
        <f>L536</f>
        <v>0</v>
      </c>
      <c r="J549" s="87">
        <f>L541</f>
        <v>122551.09</v>
      </c>
      <c r="K549" s="87">
        <f>SUM(F549:J549)</f>
        <v>1959263.8755295002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869735.36</v>
      </c>
      <c r="G551" s="87">
        <f>L528</f>
        <v>29149.31</v>
      </c>
      <c r="H551" s="87">
        <f>L533</f>
        <v>36963.379120499994</v>
      </c>
      <c r="I551" s="87">
        <f>L538</f>
        <v>0</v>
      </c>
      <c r="J551" s="87">
        <f>L543</f>
        <v>52917.61</v>
      </c>
      <c r="K551" s="87">
        <f>SUM(F551:J551)</f>
        <v>988765.65912049997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2554598.8400000003</v>
      </c>
      <c r="G552" s="89">
        <f t="shared" si="42"/>
        <v>118060.97</v>
      </c>
      <c r="H552" s="89">
        <f t="shared" si="42"/>
        <v>99901.024649999992</v>
      </c>
      <c r="I552" s="89">
        <f t="shared" si="42"/>
        <v>0</v>
      </c>
      <c r="J552" s="89">
        <f t="shared" si="42"/>
        <v>175468.7</v>
      </c>
      <c r="K552" s="89">
        <f t="shared" si="42"/>
        <v>2948029.5346500003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164906.92000000001</v>
      </c>
      <c r="G575" s="18"/>
      <c r="H575" s="18">
        <v>16482.64</v>
      </c>
      <c r="I575" s="87">
        <f>SUM(F575:H575)</f>
        <v>181389.56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v>3350264.33</v>
      </c>
      <c r="I577" s="87">
        <f t="shared" si="47"/>
        <v>3350264.33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172376.52</v>
      </c>
      <c r="G579" s="18"/>
      <c r="H579" s="18">
        <v>168461.58</v>
      </c>
      <c r="I579" s="87">
        <f t="shared" si="47"/>
        <v>340838.1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v>464365.92</v>
      </c>
      <c r="I581" s="87">
        <f t="shared" si="47"/>
        <v>464365.92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>
        <v>207758.55</v>
      </c>
      <c r="I583" s="87">
        <f t="shared" si="47"/>
        <v>207758.55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290409.39</v>
      </c>
      <c r="I591" s="18"/>
      <c r="J591" s="18">
        <v>125517.11</v>
      </c>
      <c r="K591" s="104">
        <f t="shared" ref="K591:K597" si="48">SUM(H591:J591)</f>
        <v>415926.5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122551.09</v>
      </c>
      <c r="I592" s="18"/>
      <c r="J592" s="18">
        <v>52917.61</v>
      </c>
      <c r="K592" s="104">
        <f t="shared" si="48"/>
        <v>175468.7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5817.8</v>
      </c>
      <c r="I594" s="18"/>
      <c r="J594" s="18"/>
      <c r="K594" s="104">
        <f t="shared" si="48"/>
        <v>5817.8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1465</v>
      </c>
      <c r="I595" s="18"/>
      <c r="J595" s="18"/>
      <c r="K595" s="104">
        <f t="shared" si="48"/>
        <v>1465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420243.27999999997</v>
      </c>
      <c r="I598" s="108">
        <f>SUM(I591:I597)</f>
        <v>0</v>
      </c>
      <c r="J598" s="108">
        <f>SUM(J591:J597)</f>
        <v>178434.72</v>
      </c>
      <c r="K598" s="108">
        <f>SUM(K591:K597)</f>
        <v>598678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187084.13</v>
      </c>
      <c r="I604" s="18"/>
      <c r="J604" s="18"/>
      <c r="K604" s="104">
        <f>SUM(H604:J604)</f>
        <v>187084.13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187084.13</v>
      </c>
      <c r="I605" s="108">
        <f>SUM(I602:I604)</f>
        <v>0</v>
      </c>
      <c r="J605" s="108">
        <f>SUM(J602:J604)</f>
        <v>0</v>
      </c>
      <c r="K605" s="108">
        <f>SUM(K602:K604)</f>
        <v>187084.13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33147.53</v>
      </c>
      <c r="G611" s="18">
        <v>4059.51</v>
      </c>
      <c r="H611" s="18">
        <v>1683</v>
      </c>
      <c r="I611" s="18">
        <v>76.959999999999994</v>
      </c>
      <c r="J611" s="18">
        <v>0</v>
      </c>
      <c r="K611" s="18">
        <v>0</v>
      </c>
      <c r="L611" s="88">
        <f>SUM(F611:K611)</f>
        <v>38967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33147.53</v>
      </c>
      <c r="G614" s="108">
        <f t="shared" si="49"/>
        <v>4059.51</v>
      </c>
      <c r="H614" s="108">
        <f t="shared" si="49"/>
        <v>1683</v>
      </c>
      <c r="I614" s="108">
        <f t="shared" si="49"/>
        <v>76.959999999999994</v>
      </c>
      <c r="J614" s="108">
        <f t="shared" si="49"/>
        <v>0</v>
      </c>
      <c r="K614" s="108">
        <f t="shared" si="49"/>
        <v>0</v>
      </c>
      <c r="L614" s="89">
        <f t="shared" si="49"/>
        <v>38967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1439570.07</v>
      </c>
      <c r="H617" s="109">
        <f>SUM(F52)</f>
        <v>1439570.0699999998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9811.57</v>
      </c>
      <c r="H618" s="109">
        <f>SUM(G52)</f>
        <v>9811.57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164261.28</v>
      </c>
      <c r="H621" s="109">
        <f>SUM(J52)</f>
        <v>164261.28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990301</v>
      </c>
      <c r="H622" s="109">
        <f>F476</f>
        <v>990301.00000000186</v>
      </c>
      <c r="I622" s="121" t="s">
        <v>101</v>
      </c>
      <c r="J622" s="109">
        <f t="shared" ref="J622:J655" si="50">G622-H622</f>
        <v>-1.862645149230957E-9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2935.13</v>
      </c>
      <c r="H623" s="109">
        <f>G476</f>
        <v>2935.1300000000047</v>
      </c>
      <c r="I623" s="121" t="s">
        <v>102</v>
      </c>
      <c r="J623" s="109">
        <f t="shared" si="50"/>
        <v>-4.5474735088646412E-12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151816.28</v>
      </c>
      <c r="H626" s="109">
        <f>J476</f>
        <v>151816.28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11768102.209999999</v>
      </c>
      <c r="H627" s="104">
        <f>SUM(F468)</f>
        <v>11768102.210000001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143287.47</v>
      </c>
      <c r="H628" s="104">
        <f>SUM(G468)</f>
        <v>143287.47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121009.71</v>
      </c>
      <c r="H631" s="104">
        <f>SUM(J468)</f>
        <v>121009.71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11398999.52</v>
      </c>
      <c r="H632" s="104">
        <f>SUM(F472)</f>
        <v>11398999.52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46380.63</v>
      </c>
      <c r="H634" s="104">
        <f>I369</f>
        <v>46380.630000000005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140352.34</v>
      </c>
      <c r="H635" s="104">
        <f>SUM(G472)</f>
        <v>140352.34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121009.70999999999</v>
      </c>
      <c r="H637" s="164">
        <f>SUM(J468)</f>
        <v>121009.71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12445</v>
      </c>
      <c r="H638" s="164">
        <f>SUM(J472)</f>
        <v>12445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164261.28</v>
      </c>
      <c r="H639" s="104">
        <f>SUM(F461)</f>
        <v>164261.28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164261.28</v>
      </c>
      <c r="H642" s="104">
        <f>SUM(I461)</f>
        <v>164261.28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9.7100000000000009</v>
      </c>
      <c r="H644" s="104">
        <f>H408</f>
        <v>9.7099999999999991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121000</v>
      </c>
      <c r="H645" s="104">
        <f>G408</f>
        <v>121000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121009.71</v>
      </c>
      <c r="H646" s="104">
        <f>L408</f>
        <v>121009.70999999999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598678</v>
      </c>
      <c r="H647" s="104">
        <f>L208+L226+L244</f>
        <v>598678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187084.13</v>
      </c>
      <c r="H648" s="104">
        <f>(J257+J338)-(J255+J336)</f>
        <v>187084.13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420243.28</v>
      </c>
      <c r="H649" s="104">
        <f>H598</f>
        <v>420243.27999999997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178434.72</v>
      </c>
      <c r="H651" s="104">
        <f>J598</f>
        <v>178434.72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35492.69</v>
      </c>
      <c r="H652" s="104">
        <f>K263+K345</f>
        <v>35492.69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121000</v>
      </c>
      <c r="H655" s="104">
        <f>K266+K347</f>
        <v>121000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6500977.7300000004</v>
      </c>
      <c r="G660" s="19">
        <f>(L229+L309+L359)</f>
        <v>0</v>
      </c>
      <c r="H660" s="19">
        <f>(L247+L328+L360)</f>
        <v>4569816.1899999995</v>
      </c>
      <c r="I660" s="19">
        <f>SUM(F660:H660)</f>
        <v>11070793.92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55401.96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55401.96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420243.28</v>
      </c>
      <c r="G662" s="19">
        <f>(L226+L306)-(J226+J306)</f>
        <v>0</v>
      </c>
      <c r="H662" s="19">
        <f>(L244+L325)-(J244+J325)</f>
        <v>178434.72</v>
      </c>
      <c r="I662" s="19">
        <f>SUM(F662:H662)</f>
        <v>598678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563334.57000000007</v>
      </c>
      <c r="G663" s="199">
        <f>SUM(G575:G587)+SUM(I602:I604)+L612</f>
        <v>0</v>
      </c>
      <c r="H663" s="199">
        <f>SUM(H575:H587)+SUM(J602:J604)+L613</f>
        <v>4207333.0200000005</v>
      </c>
      <c r="I663" s="19">
        <f>SUM(F663:H663)</f>
        <v>4770667.5900000008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5461997.9199999999</v>
      </c>
      <c r="G664" s="19">
        <f>G660-SUM(G661:G663)</f>
        <v>0</v>
      </c>
      <c r="H664" s="19">
        <f>H660-SUM(H661:H663)</f>
        <v>184048.44999999925</v>
      </c>
      <c r="I664" s="19">
        <f>I660-SUM(I661:I663)</f>
        <v>5646046.3699999992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394.46</v>
      </c>
      <c r="G665" s="248"/>
      <c r="H665" s="248"/>
      <c r="I665" s="19">
        <f>SUM(F665:H665)</f>
        <v>394.46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13846.77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14313.36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-184048.45</v>
      </c>
      <c r="I669" s="19">
        <f>SUM(F669:H669)</f>
        <v>-184048.45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13846.77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13846.77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Northwood School Distict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1461691.87</v>
      </c>
      <c r="C9" s="229">
        <f>'DOE25'!G197+'DOE25'!G215+'DOE25'!G233+'DOE25'!G276+'DOE25'!G295+'DOE25'!G314</f>
        <v>805043.88</v>
      </c>
    </row>
    <row r="10" spans="1:3" x14ac:dyDescent="0.2">
      <c r="A10" t="s">
        <v>779</v>
      </c>
      <c r="B10" s="240">
        <v>1372453.5</v>
      </c>
      <c r="C10" s="240">
        <v>486961.46</v>
      </c>
    </row>
    <row r="11" spans="1:3" x14ac:dyDescent="0.2">
      <c r="A11" t="s">
        <v>780</v>
      </c>
      <c r="B11" s="240">
        <v>57882.31</v>
      </c>
      <c r="C11" s="240">
        <v>23997.08</v>
      </c>
    </row>
    <row r="12" spans="1:3" x14ac:dyDescent="0.2">
      <c r="A12" t="s">
        <v>781</v>
      </c>
      <c r="B12" s="240">
        <v>31356.06</v>
      </c>
      <c r="C12" s="240">
        <v>294085.34000000003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1461691.87</v>
      </c>
      <c r="C13" s="231">
        <f>SUM(C10:C12)</f>
        <v>805043.88000000012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694558.28</v>
      </c>
      <c r="C18" s="229">
        <f>'DOE25'!G198+'DOE25'!G216+'DOE25'!G234+'DOE25'!G277+'DOE25'!G296+'DOE25'!G315</f>
        <v>406721.59</v>
      </c>
    </row>
    <row r="19" spans="1:3" x14ac:dyDescent="0.2">
      <c r="A19" t="s">
        <v>779</v>
      </c>
      <c r="B19" s="240">
        <v>217256.2</v>
      </c>
      <c r="C19" s="240">
        <v>96739.28</v>
      </c>
    </row>
    <row r="20" spans="1:3" x14ac:dyDescent="0.2">
      <c r="A20" t="s">
        <v>780</v>
      </c>
      <c r="B20" s="240">
        <v>360382.61</v>
      </c>
      <c r="C20" s="240">
        <v>287288.65999999997</v>
      </c>
    </row>
    <row r="21" spans="1:3" x14ac:dyDescent="0.2">
      <c r="A21" t="s">
        <v>781</v>
      </c>
      <c r="B21" s="240">
        <v>116919.47</v>
      </c>
      <c r="C21" s="240">
        <v>22693.65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694558.28</v>
      </c>
      <c r="C22" s="231">
        <f>SUM(C19:C21)</f>
        <v>406721.58999999997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>
        <v>0</v>
      </c>
      <c r="C28" s="240">
        <v>0</v>
      </c>
    </row>
    <row r="29" spans="1:3" x14ac:dyDescent="0.2">
      <c r="A29" t="s">
        <v>780</v>
      </c>
      <c r="B29" s="240">
        <v>0</v>
      </c>
      <c r="C29" s="240">
        <v>0</v>
      </c>
    </row>
    <row r="30" spans="1:3" x14ac:dyDescent="0.2">
      <c r="A30" t="s">
        <v>781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32269</v>
      </c>
      <c r="C36" s="235">
        <f>'DOE25'!G200+'DOE25'!G218+'DOE25'!G236+'DOE25'!G279+'DOE25'!G298+'DOE25'!G317</f>
        <v>4659.83</v>
      </c>
    </row>
    <row r="37" spans="1:3" x14ac:dyDescent="0.2">
      <c r="A37" t="s">
        <v>779</v>
      </c>
      <c r="B37" s="240">
        <v>20275</v>
      </c>
      <c r="C37" s="240">
        <v>3600.7</v>
      </c>
    </row>
    <row r="38" spans="1:3" x14ac:dyDescent="0.2">
      <c r="A38" t="s">
        <v>780</v>
      </c>
      <c r="B38" s="240">
        <v>5894</v>
      </c>
      <c r="C38" s="240">
        <v>450.88</v>
      </c>
    </row>
    <row r="39" spans="1:3" x14ac:dyDescent="0.2">
      <c r="A39" t="s">
        <v>781</v>
      </c>
      <c r="B39" s="240">
        <v>6100</v>
      </c>
      <c r="C39" s="240">
        <v>608.25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32269</v>
      </c>
      <c r="C40" s="231">
        <f>SUM(C37:C39)</f>
        <v>4659.83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Northwood School Distict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8326701.1799999997</v>
      </c>
      <c r="D5" s="20">
        <f>SUM('DOE25'!L197:L200)+SUM('DOE25'!L215:L218)+SUM('DOE25'!L233:L236)-F5-G5</f>
        <v>8294898.6299999999</v>
      </c>
      <c r="E5" s="243"/>
      <c r="F5" s="255">
        <f>SUM('DOE25'!J197:J200)+SUM('DOE25'!J215:J218)+SUM('DOE25'!J233:J236)</f>
        <v>16080.09</v>
      </c>
      <c r="G5" s="53">
        <f>SUM('DOE25'!K197:K200)+SUM('DOE25'!K215:K218)+SUM('DOE25'!K233:K236)</f>
        <v>15722.46</v>
      </c>
      <c r="H5" s="259"/>
    </row>
    <row r="6" spans="1:9" x14ac:dyDescent="0.2">
      <c r="A6" s="32">
        <v>2100</v>
      </c>
      <c r="B6" t="s">
        <v>801</v>
      </c>
      <c r="C6" s="245">
        <f t="shared" si="0"/>
        <v>315607.53999999998</v>
      </c>
      <c r="D6" s="20">
        <f>'DOE25'!L202+'DOE25'!L220+'DOE25'!L238-F6-G6</f>
        <v>314225.03999999998</v>
      </c>
      <c r="E6" s="243"/>
      <c r="F6" s="255">
        <f>'DOE25'!J202+'DOE25'!J220+'DOE25'!J238</f>
        <v>1054.5</v>
      </c>
      <c r="G6" s="53">
        <f>'DOE25'!K202+'DOE25'!K220+'DOE25'!K238</f>
        <v>328</v>
      </c>
      <c r="H6" s="259"/>
    </row>
    <row r="7" spans="1:9" x14ac:dyDescent="0.2">
      <c r="A7" s="32">
        <v>2200</v>
      </c>
      <c r="B7" t="s">
        <v>834</v>
      </c>
      <c r="C7" s="245">
        <f t="shared" si="0"/>
        <v>444580.95000000007</v>
      </c>
      <c r="D7" s="20">
        <f>'DOE25'!L203+'DOE25'!L221+'DOE25'!L239-F7-G7</f>
        <v>280074.8600000001</v>
      </c>
      <c r="E7" s="243"/>
      <c r="F7" s="255">
        <f>'DOE25'!J203+'DOE25'!J221+'DOE25'!J239</f>
        <v>164506.09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255972.63999999996</v>
      </c>
      <c r="D8" s="243"/>
      <c r="E8" s="20">
        <f>'DOE25'!L204+'DOE25'!L222+'DOE25'!L240-F8-G8-D9-D11</f>
        <v>249281.26999999996</v>
      </c>
      <c r="F8" s="255">
        <f>'DOE25'!J204+'DOE25'!J222+'DOE25'!J240</f>
        <v>0</v>
      </c>
      <c r="G8" s="53">
        <f>'DOE25'!K204+'DOE25'!K222+'DOE25'!K240</f>
        <v>6691.3700000000008</v>
      </c>
      <c r="H8" s="259"/>
    </row>
    <row r="9" spans="1:9" x14ac:dyDescent="0.2">
      <c r="A9" s="32">
        <v>2310</v>
      </c>
      <c r="B9" t="s">
        <v>818</v>
      </c>
      <c r="C9" s="245">
        <f t="shared" si="0"/>
        <v>51972.81</v>
      </c>
      <c r="D9" s="244">
        <f>60222.81-8250</f>
        <v>51972.81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8250</v>
      </c>
      <c r="D10" s="243"/>
      <c r="E10" s="244">
        <v>8250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110700.88</v>
      </c>
      <c r="D11" s="244">
        <v>110700.88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348376.50999999995</v>
      </c>
      <c r="D12" s="20">
        <f>'DOE25'!L205+'DOE25'!L223+'DOE25'!L241-F12-G12</f>
        <v>344235.69</v>
      </c>
      <c r="E12" s="243"/>
      <c r="F12" s="255">
        <f>'DOE25'!J205+'DOE25'!J223+'DOE25'!J241</f>
        <v>551.6</v>
      </c>
      <c r="G12" s="53">
        <f>'DOE25'!K205+'DOE25'!K223+'DOE25'!K241</f>
        <v>3589.22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477851.07</v>
      </c>
      <c r="D14" s="20">
        <f>'DOE25'!L207+'DOE25'!L225+'DOE25'!L243-F14-G14</f>
        <v>472959.22000000003</v>
      </c>
      <c r="E14" s="243"/>
      <c r="F14" s="255">
        <f>'DOE25'!J207+'DOE25'!J225+'DOE25'!J243</f>
        <v>4891.8500000000004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598678</v>
      </c>
      <c r="D15" s="20">
        <f>'DOE25'!L208+'DOE25'!L226+'DOE25'!L244-F15-G15</f>
        <v>598678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312065.25</v>
      </c>
      <c r="D25" s="243"/>
      <c r="E25" s="243"/>
      <c r="F25" s="258"/>
      <c r="G25" s="256"/>
      <c r="H25" s="257">
        <f>'DOE25'!L260+'DOE25'!L261+'DOE25'!L341+'DOE25'!L342</f>
        <v>312065.25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97776.37</v>
      </c>
      <c r="D29" s="20">
        <f>'DOE25'!L358+'DOE25'!L359+'DOE25'!L360-'DOE25'!I367-F29-G29</f>
        <v>93163.04</v>
      </c>
      <c r="E29" s="243"/>
      <c r="F29" s="255">
        <f>'DOE25'!J358+'DOE25'!J359+'DOE25'!J360</f>
        <v>4613.33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10560908.17</v>
      </c>
      <c r="E33" s="246">
        <f>SUM(E5:E31)</f>
        <v>257531.26999999996</v>
      </c>
      <c r="F33" s="246">
        <f>SUM(F5:F31)</f>
        <v>191697.46</v>
      </c>
      <c r="G33" s="246">
        <f>SUM(G5:G31)</f>
        <v>26331.050000000003</v>
      </c>
      <c r="H33" s="246">
        <f>SUM(H5:H31)</f>
        <v>312065.25</v>
      </c>
    </row>
    <row r="35" spans="2:8" ht="12" thickBot="1" x14ac:dyDescent="0.25">
      <c r="B35" s="253" t="s">
        <v>847</v>
      </c>
      <c r="D35" s="254">
        <f>E33</f>
        <v>257531.26999999996</v>
      </c>
      <c r="E35" s="249"/>
    </row>
    <row r="36" spans="2:8" ht="12" thickTop="1" x14ac:dyDescent="0.2">
      <c r="B36" t="s">
        <v>815</v>
      </c>
      <c r="D36" s="20">
        <f>D33</f>
        <v>10560908.17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57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Northwood School Distict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1423812.28</v>
      </c>
      <c r="D8" s="95">
        <f>'DOE25'!G9</f>
        <v>50</v>
      </c>
      <c r="E8" s="95">
        <f>'DOE25'!H9</f>
        <v>0</v>
      </c>
      <c r="F8" s="95">
        <f>'DOE25'!I9</f>
        <v>0</v>
      </c>
      <c r="G8" s="95">
        <f>'DOE25'!J9</f>
        <v>164261.28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14323.46</v>
      </c>
      <c r="D12" s="95">
        <f>'DOE25'!G13</f>
        <v>4425.43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1434.33</v>
      </c>
      <c r="D13" s="95">
        <f>'DOE25'!G14</f>
        <v>2401.0100000000002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2935.13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1439570.07</v>
      </c>
      <c r="D18" s="41">
        <f>SUM(D8:D17)</f>
        <v>9811.57</v>
      </c>
      <c r="E18" s="41">
        <f>SUM(E8:E17)</f>
        <v>0</v>
      </c>
      <c r="F18" s="41">
        <f>SUM(F8:F17)</f>
        <v>0</v>
      </c>
      <c r="G18" s="41">
        <f>SUM(G8:G17)</f>
        <v>164261.28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12445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55346.03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317142.99999999994</v>
      </c>
      <c r="D23" s="95">
        <f>'DOE25'!G24</f>
        <v>6876.4400000000005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76780.040000000008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449269.06999999995</v>
      </c>
      <c r="D31" s="41">
        <f>SUM(D21:D30)</f>
        <v>6876.4400000000005</v>
      </c>
      <c r="E31" s="41">
        <f>SUM(E21:E30)</f>
        <v>0</v>
      </c>
      <c r="F31" s="41">
        <f>SUM(F21:F30)</f>
        <v>0</v>
      </c>
      <c r="G31" s="41">
        <f>SUM(G21:G30)</f>
        <v>12445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2935.13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121000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216047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151816.28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653254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990301</v>
      </c>
      <c r="D50" s="41">
        <f>SUM(D34:D49)</f>
        <v>2935.13</v>
      </c>
      <c r="E50" s="41">
        <f>SUM(E34:E49)</f>
        <v>0</v>
      </c>
      <c r="F50" s="41">
        <f>SUM(F34:F49)</f>
        <v>0</v>
      </c>
      <c r="G50" s="41">
        <f>SUM(G34:G49)</f>
        <v>151816.28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1439570.0699999998</v>
      </c>
      <c r="D51" s="41">
        <f>D50+D31</f>
        <v>9811.57</v>
      </c>
      <c r="E51" s="41">
        <f>E50+E31</f>
        <v>0</v>
      </c>
      <c r="F51" s="41">
        <f>F50+F31</f>
        <v>0</v>
      </c>
      <c r="G51" s="41">
        <f>G50+G31</f>
        <v>164261.28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7667588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7711.62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1129.4100000000001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9.7100000000000009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55401.96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206646.38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215487.41</v>
      </c>
      <c r="D62" s="130">
        <f>SUM(D57:D61)</f>
        <v>55401.96</v>
      </c>
      <c r="E62" s="130">
        <f>SUM(E57:E61)</f>
        <v>0</v>
      </c>
      <c r="F62" s="130">
        <f>SUM(F57:F61)</f>
        <v>0</v>
      </c>
      <c r="G62" s="130">
        <f>SUM(G57:G61)</f>
        <v>9.7100000000000009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7883075.4100000001</v>
      </c>
      <c r="D63" s="22">
        <f>D56+D62</f>
        <v>55401.96</v>
      </c>
      <c r="E63" s="22">
        <f>E56+E62</f>
        <v>0</v>
      </c>
      <c r="F63" s="22">
        <f>F56+F62</f>
        <v>0</v>
      </c>
      <c r="G63" s="22">
        <f>G56+G62</f>
        <v>9.7100000000000009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2262659.4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1173958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3436617.4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87814.28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188021.33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2086.64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275835.61</v>
      </c>
      <c r="D78" s="130">
        <f>SUM(D72:D77)</f>
        <v>2086.64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3712453.01</v>
      </c>
      <c r="D81" s="130">
        <f>SUM(D79:D80)+D78+D70</f>
        <v>2086.64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172573.79</v>
      </c>
      <c r="D88" s="95">
        <f>SUM('DOE25'!G153:G161)</f>
        <v>50306.18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172573.79</v>
      </c>
      <c r="D91" s="131">
        <f>SUM(D85:D90)</f>
        <v>50306.18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35492.69</v>
      </c>
      <c r="E96" s="95">
        <f>'DOE25'!H179</f>
        <v>0</v>
      </c>
      <c r="F96" s="95">
        <f>'DOE25'!I179</f>
        <v>0</v>
      </c>
      <c r="G96" s="95">
        <f>'DOE25'!J179</f>
        <v>121000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35492.69</v>
      </c>
      <c r="E103" s="86">
        <f>SUM(E93:E102)</f>
        <v>0</v>
      </c>
      <c r="F103" s="86">
        <f>SUM(F93:F102)</f>
        <v>0</v>
      </c>
      <c r="G103" s="86">
        <f>SUM(G93:G102)</f>
        <v>121000</v>
      </c>
    </row>
    <row r="104" spans="1:7" ht="12.75" thickTop="1" thickBot="1" x14ac:dyDescent="0.25">
      <c r="A104" s="33" t="s">
        <v>765</v>
      </c>
      <c r="C104" s="86">
        <f>C63+C81+C91+C103</f>
        <v>11768102.209999999</v>
      </c>
      <c r="D104" s="86">
        <f>D63+D81+D91+D103</f>
        <v>143287.47</v>
      </c>
      <c r="E104" s="86">
        <f>E63+E81+E91+E103</f>
        <v>0</v>
      </c>
      <c r="F104" s="86">
        <f>F63+F81+F91+F103</f>
        <v>0</v>
      </c>
      <c r="G104" s="86">
        <f>G63+G81+G103</f>
        <v>121009.71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5721866.8100000005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2554598.8400000003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50235.53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8326701.1800000006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315607.53999999998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444580.95000000007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418646.32999999996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348376.50999999995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477851.07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598678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140352.34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2603740.4</v>
      </c>
      <c r="D128" s="86">
        <f>SUM(D118:D127)</f>
        <v>140352.34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290000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22065.25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35492.69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121009.70999999999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-9.7099999999918509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468557.94000000006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11398999.52</v>
      </c>
      <c r="D145" s="86">
        <f>(D115+D128+D144)</f>
        <v>140352.34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08/01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08/16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4370000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4.5999999999999996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870000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870000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290000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290000</v>
      </c>
    </row>
    <row r="159" spans="1:9" x14ac:dyDescent="0.2">
      <c r="A159" s="22" t="s">
        <v>35</v>
      </c>
      <c r="B159" s="137">
        <f>'DOE25'!F498</f>
        <v>580000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580000</v>
      </c>
    </row>
    <row r="160" spans="1:9" x14ac:dyDescent="0.2">
      <c r="A160" s="22" t="s">
        <v>36</v>
      </c>
      <c r="B160" s="137">
        <f>'DOE25'!F499</f>
        <v>15431.5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15431.5</v>
      </c>
    </row>
    <row r="161" spans="1:7" x14ac:dyDescent="0.2">
      <c r="A161" s="22" t="s">
        <v>37</v>
      </c>
      <c r="B161" s="137">
        <f>'DOE25'!F500</f>
        <v>595431.5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595431.5</v>
      </c>
    </row>
    <row r="162" spans="1:7" x14ac:dyDescent="0.2">
      <c r="A162" s="22" t="s">
        <v>38</v>
      </c>
      <c r="B162" s="137">
        <f>'DOE25'!F501</f>
        <v>290000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290000</v>
      </c>
    </row>
    <row r="163" spans="1:7" x14ac:dyDescent="0.2">
      <c r="A163" s="22" t="s">
        <v>39</v>
      </c>
      <c r="B163" s="137">
        <f>'DOE25'!F502</f>
        <v>8471.5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8471.5</v>
      </c>
    </row>
    <row r="164" spans="1:7" x14ac:dyDescent="0.2">
      <c r="A164" s="22" t="s">
        <v>246</v>
      </c>
      <c r="B164" s="137">
        <f>'DOE25'!F503</f>
        <v>298471.5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298471.5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Northwood School Distict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13847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13847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5721867</v>
      </c>
      <c r="D10" s="182">
        <f>ROUND((C10/$C$28)*100,1)</f>
        <v>51.8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2554599</v>
      </c>
      <c r="D11" s="182">
        <f>ROUND((C11/$C$28)*100,1)</f>
        <v>23.1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50236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315608</v>
      </c>
      <c r="D15" s="182">
        <f t="shared" ref="D15:D27" si="0">ROUND((C15/$C$28)*100,1)</f>
        <v>2.9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444581</v>
      </c>
      <c r="D16" s="182">
        <f t="shared" si="0"/>
        <v>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418646</v>
      </c>
      <c r="D17" s="182">
        <f t="shared" si="0"/>
        <v>3.8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348377</v>
      </c>
      <c r="D18" s="182">
        <f t="shared" si="0"/>
        <v>3.2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477851</v>
      </c>
      <c r="D20" s="182">
        <f t="shared" si="0"/>
        <v>4.3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598678</v>
      </c>
      <c r="D21" s="182">
        <f t="shared" si="0"/>
        <v>5.4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22065</v>
      </c>
      <c r="D25" s="182">
        <f t="shared" si="0"/>
        <v>0.2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84950.040000000008</v>
      </c>
      <c r="D27" s="182">
        <f t="shared" si="0"/>
        <v>0.8</v>
      </c>
    </row>
    <row r="28" spans="1:4" x14ac:dyDescent="0.2">
      <c r="B28" s="187" t="s">
        <v>723</v>
      </c>
      <c r="C28" s="180">
        <f>SUM(C10:C27)</f>
        <v>11037458.039999999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11037458.039999999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290000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7667588</v>
      </c>
      <c r="D35" s="182">
        <f t="shared" ref="D35:D40" si="1">ROUND((C35/$C$41)*100,1)</f>
        <v>64.900000000000006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215497.12000000011</v>
      </c>
      <c r="D36" s="182">
        <f t="shared" si="1"/>
        <v>1.8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3436617</v>
      </c>
      <c r="D37" s="182">
        <f t="shared" si="1"/>
        <v>29.1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277922</v>
      </c>
      <c r="D38" s="182">
        <f t="shared" si="1"/>
        <v>2.4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222880</v>
      </c>
      <c r="D39" s="182">
        <f t="shared" si="1"/>
        <v>1.9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11820504.120000001</v>
      </c>
      <c r="D41" s="184">
        <f>SUM(D35:D40)</f>
        <v>100.10000000000002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5" sqref="A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Northwood School Distict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>
        <v>3</v>
      </c>
      <c r="B4" s="219">
        <v>24</v>
      </c>
      <c r="C4" s="285" t="s">
        <v>913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2015-09-18T13:55:18Z</cp:lastPrinted>
  <dcterms:created xsi:type="dcterms:W3CDTF">1997-12-04T19:04:30Z</dcterms:created>
  <dcterms:modified xsi:type="dcterms:W3CDTF">2015-10-06T13:15:58Z</dcterms:modified>
</cp:coreProperties>
</file>