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200" windowHeight="10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B12" i="12" l="1"/>
  <c r="F29" i="1"/>
  <c r="G12" i="1"/>
  <c r="G23" i="1"/>
  <c r="F14" i="1"/>
  <c r="H234" i="1"/>
  <c r="I207" i="1"/>
  <c r="H198" i="1"/>
  <c r="H244" i="1" l="1"/>
  <c r="H208" i="1"/>
  <c r="J591" i="1"/>
  <c r="D9" i="13" l="1"/>
  <c r="F368" i="1"/>
  <c r="J358" i="1"/>
  <c r="I358" i="1"/>
  <c r="H358" i="1"/>
  <c r="G358" i="1"/>
  <c r="F358" i="1"/>
  <c r="G472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D7" i="13" s="1"/>
  <c r="C7" i="13" s="1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G649" i="1" s="1"/>
  <c r="L226" i="1"/>
  <c r="L244" i="1"/>
  <c r="H662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D85" i="2" s="1"/>
  <c r="G162" i="1"/>
  <c r="H147" i="1"/>
  <c r="H162" i="1"/>
  <c r="I147" i="1"/>
  <c r="I169" i="1" s="1"/>
  <c r="I162" i="1"/>
  <c r="C19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5" i="2" s="1"/>
  <c r="E111" i="2"/>
  <c r="E112" i="2"/>
  <c r="C113" i="2"/>
  <c r="E113" i="2"/>
  <c r="E114" i="2"/>
  <c r="D115" i="2"/>
  <c r="F115" i="2"/>
  <c r="G115" i="2"/>
  <c r="E118" i="2"/>
  <c r="E119" i="2"/>
  <c r="E128" i="2" s="1"/>
  <c r="E120" i="2"/>
  <c r="C121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J644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G460" i="1"/>
  <c r="H460" i="1"/>
  <c r="F461" i="1"/>
  <c r="H639" i="1" s="1"/>
  <c r="G461" i="1"/>
  <c r="H461" i="1"/>
  <c r="H641" i="1" s="1"/>
  <c r="F470" i="1"/>
  <c r="G470" i="1"/>
  <c r="G476" i="1" s="1"/>
  <c r="H623" i="1" s="1"/>
  <c r="J623" i="1" s="1"/>
  <c r="H470" i="1"/>
  <c r="H476" i="1" s="1"/>
  <c r="H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1" i="1"/>
  <c r="J641" i="1" s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C26" i="10"/>
  <c r="L328" i="1"/>
  <c r="L351" i="1"/>
  <c r="L290" i="1"/>
  <c r="C70" i="2"/>
  <c r="D18" i="13"/>
  <c r="C18" i="13" s="1"/>
  <c r="D17" i="13"/>
  <c r="C17" i="13" s="1"/>
  <c r="E8" i="13"/>
  <c r="C8" i="13" s="1"/>
  <c r="F78" i="2"/>
  <c r="F81" i="2" s="1"/>
  <c r="C78" i="2"/>
  <c r="F18" i="2"/>
  <c r="G156" i="2"/>
  <c r="E103" i="2"/>
  <c r="E62" i="2"/>
  <c r="E63" i="2" s="1"/>
  <c r="G62" i="2"/>
  <c r="D19" i="13"/>
  <c r="C19" i="13" s="1"/>
  <c r="E78" i="2"/>
  <c r="E81" i="2" s="1"/>
  <c r="J571" i="1"/>
  <c r="L433" i="1"/>
  <c r="D81" i="2"/>
  <c r="H169" i="1"/>
  <c r="J476" i="1"/>
  <c r="H626" i="1" s="1"/>
  <c r="J140" i="1"/>
  <c r="F571" i="1"/>
  <c r="I552" i="1"/>
  <c r="K549" i="1"/>
  <c r="G22" i="2"/>
  <c r="K545" i="1"/>
  <c r="H552" i="1"/>
  <c r="H140" i="1"/>
  <c r="L401" i="1"/>
  <c r="C139" i="2" s="1"/>
  <c r="L393" i="1"/>
  <c r="F22" i="13"/>
  <c r="H25" i="13"/>
  <c r="C25" i="13" s="1"/>
  <c r="J640" i="1"/>
  <c r="H571" i="1"/>
  <c r="H338" i="1"/>
  <c r="H352" i="1" s="1"/>
  <c r="F338" i="1"/>
  <c r="F352" i="1" s="1"/>
  <c r="H192" i="1"/>
  <c r="C35" i="10"/>
  <c r="L309" i="1"/>
  <c r="E16" i="13"/>
  <c r="I571" i="1"/>
  <c r="J636" i="1"/>
  <c r="G36" i="2"/>
  <c r="L565" i="1"/>
  <c r="C22" i="13"/>
  <c r="C138" i="2"/>
  <c r="H33" i="13"/>
  <c r="H545" i="1" l="1"/>
  <c r="J552" i="1"/>
  <c r="L529" i="1"/>
  <c r="G552" i="1"/>
  <c r="A40" i="12"/>
  <c r="J622" i="1"/>
  <c r="D31" i="2"/>
  <c r="C18" i="2"/>
  <c r="D18" i="2"/>
  <c r="C21" i="10"/>
  <c r="J651" i="1"/>
  <c r="K598" i="1"/>
  <c r="G647" i="1" s="1"/>
  <c r="J649" i="1"/>
  <c r="G192" i="1"/>
  <c r="J639" i="1"/>
  <c r="J634" i="1"/>
  <c r="I369" i="1"/>
  <c r="H634" i="1" s="1"/>
  <c r="D127" i="2"/>
  <c r="D128" i="2" s="1"/>
  <c r="L362" i="1"/>
  <c r="C27" i="10" s="1"/>
  <c r="D29" i="13"/>
  <c r="C29" i="13" s="1"/>
  <c r="G661" i="1"/>
  <c r="F661" i="1"/>
  <c r="D145" i="2"/>
  <c r="J645" i="1"/>
  <c r="I476" i="1"/>
  <c r="H625" i="1" s="1"/>
  <c r="J625" i="1" s="1"/>
  <c r="K257" i="1"/>
  <c r="K271" i="1" s="1"/>
  <c r="J257" i="1"/>
  <c r="J271" i="1" s="1"/>
  <c r="I257" i="1"/>
  <c r="I271" i="1" s="1"/>
  <c r="G257" i="1"/>
  <c r="G271" i="1" s="1"/>
  <c r="F257" i="1"/>
  <c r="F271" i="1" s="1"/>
  <c r="C120" i="2"/>
  <c r="C110" i="2"/>
  <c r="H257" i="1"/>
  <c r="H271" i="1" s="1"/>
  <c r="C10" i="10"/>
  <c r="L247" i="1"/>
  <c r="H660" i="1" s="1"/>
  <c r="H664" i="1" s="1"/>
  <c r="H667" i="1" s="1"/>
  <c r="H647" i="1"/>
  <c r="D12" i="13"/>
  <c r="C12" i="13" s="1"/>
  <c r="D6" i="13"/>
  <c r="C6" i="13" s="1"/>
  <c r="D15" i="13"/>
  <c r="C15" i="13" s="1"/>
  <c r="F662" i="1"/>
  <c r="C17" i="10"/>
  <c r="C124" i="2"/>
  <c r="C20" i="10"/>
  <c r="E13" i="13"/>
  <c r="C13" i="13" s="1"/>
  <c r="C118" i="2"/>
  <c r="C12" i="10"/>
  <c r="C109" i="2"/>
  <c r="D5" i="13"/>
  <c r="C5" i="13" s="1"/>
  <c r="C11" i="10"/>
  <c r="A31" i="12"/>
  <c r="C91" i="2"/>
  <c r="D91" i="2"/>
  <c r="F112" i="1"/>
  <c r="J624" i="1"/>
  <c r="J617" i="1"/>
  <c r="C16" i="13"/>
  <c r="K550" i="1"/>
  <c r="K552" i="1" s="1"/>
  <c r="C81" i="2"/>
  <c r="D63" i="2"/>
  <c r="G624" i="1"/>
  <c r="L534" i="1"/>
  <c r="K500" i="1"/>
  <c r="I460" i="1"/>
  <c r="I452" i="1"/>
  <c r="I446" i="1"/>
  <c r="G642" i="1" s="1"/>
  <c r="C123" i="2"/>
  <c r="C119" i="2"/>
  <c r="C112" i="2"/>
  <c r="F85" i="2"/>
  <c r="F91" i="2" s="1"/>
  <c r="F104" i="2" s="1"/>
  <c r="L211" i="1"/>
  <c r="F660" i="1" s="1"/>
  <c r="G81" i="2"/>
  <c r="C62" i="2"/>
  <c r="C63" i="2" s="1"/>
  <c r="G662" i="1"/>
  <c r="C15" i="10"/>
  <c r="G112" i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I662" i="1" l="1"/>
  <c r="J647" i="1"/>
  <c r="G635" i="1"/>
  <c r="J635" i="1" s="1"/>
  <c r="I661" i="1"/>
  <c r="C115" i="2"/>
  <c r="F664" i="1"/>
  <c r="F667" i="1" s="1"/>
  <c r="E33" i="13"/>
  <c r="D35" i="13" s="1"/>
  <c r="C128" i="2"/>
  <c r="C28" i="10"/>
  <c r="D24" i="10" s="1"/>
  <c r="L257" i="1"/>
  <c r="L271" i="1" s="1"/>
  <c r="G632" i="1" s="1"/>
  <c r="J632" i="1" s="1"/>
  <c r="I660" i="1"/>
  <c r="F193" i="1"/>
  <c r="G627" i="1" s="1"/>
  <c r="J627" i="1" s="1"/>
  <c r="C36" i="10"/>
  <c r="H672" i="1"/>
  <c r="C6" i="10" s="1"/>
  <c r="C104" i="2"/>
  <c r="F33" i="13"/>
  <c r="G104" i="2"/>
  <c r="L545" i="1"/>
  <c r="L408" i="1"/>
  <c r="I461" i="1"/>
  <c r="H642" i="1" s="1"/>
  <c r="J642" i="1" s="1"/>
  <c r="G664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4" i="1" l="1"/>
  <c r="I672" i="1" s="1"/>
  <c r="C7" i="10" s="1"/>
  <c r="C145" i="2"/>
  <c r="F672" i="1"/>
  <c r="C4" i="10" s="1"/>
  <c r="D15" i="10"/>
  <c r="D19" i="10"/>
  <c r="D10" i="10"/>
  <c r="D22" i="10"/>
  <c r="D13" i="10"/>
  <c r="D25" i="10"/>
  <c r="C30" i="10"/>
  <c r="D26" i="10"/>
  <c r="D21" i="10"/>
  <c r="D23" i="10"/>
  <c r="D20" i="10"/>
  <c r="D11" i="10"/>
  <c r="D16" i="10"/>
  <c r="D27" i="10"/>
  <c r="D18" i="10"/>
  <c r="D17" i="10"/>
  <c r="D12" i="10"/>
  <c r="G667" i="1"/>
  <c r="G672" i="1"/>
  <c r="C5" i="10" s="1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<sst xmlns="http://schemas.openxmlformats.org/spreadsheetml/2006/main" count="3955" uniqueCount="913">
  <si>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</si>
  <si>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</si>
  <si>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</si>
  <si>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</si>
  <si>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</si>
  <si>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</si>
  <si>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</si>
  <si>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</si>
  <si>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</si>
  <si>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</si>
  <si>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</si>
  <si>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</si>
  <si>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</si>
  <si>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</si>
  <si>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</si>
  <si>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</si>
  <si>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</si>
  <si>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</si>
  <si>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</si>
  <si>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</si>
  <si>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</si>
  <si>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</si>
  <si>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</si>
  <si>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</si>
  <si>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</si>
  <si>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</si>
  <si>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</si>
  <si>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</si>
  <si>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</si>
  <si>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</si>
  <si>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</si>
  <si>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</si>
  <si>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</si>
  <si>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</si>
  <si>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</si>
  <si>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</si>
  <si>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</si>
  <si>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</si>
  <si>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</si>
  <si>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</si>
  <si>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</si>
  <si>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</si>
  <si>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</si>
  <si>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</si>
  <si>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</si>
  <si>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</si>
  <si>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</si>
  <si>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</si>
  <si>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</si>
  <si>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</si>
  <si>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</si>
  <si>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</si>
  <si>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</si>
  <si>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</si>
  <si>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</si>
  <si>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</si>
  <si>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</si>
  <si>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</si>
  <si>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</si>
  <si>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</si>
  <si>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</si>
  <si>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</si>
  <si>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</si>
  <si>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</si>
  <si>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</si>
  <si>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</si>
  <si>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</si>
  <si>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</si>
  <si>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</si>
  <si>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</si>
  <si>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</si>
  <si>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</si>
  <si>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</si>
  <si>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</si>
  <si>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</si>
  <si>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</si>
  <si>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</si>
  <si>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</si>
  <si>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</si>
  <si>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</si>
  <si>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</si>
  <si>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</si>
  <si>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</si>
  <si>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</si>
  <si>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</si>
  <si>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</si>
  <si>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</si>
  <si>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</si>
  <si>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</si>
  <si>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</si>
  <si>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</si>
  <si>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</si>
  <si>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</si>
  <si>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</si>
  <si>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</si>
  <si>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</si>
  <si>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</si>
  <si>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</si>
  <si>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</si>
  <si>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</si>
  <si>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</si>
  <si>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</si>
  <si>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</si>
  <si>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</si>
  <si>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</si>
  <si>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</si>
  <si>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</si>
  <si>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</si>
  <si>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</si>
  <si>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</si>
  <si>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</si>
  <si>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</si>
  <si>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</si>
  <si>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</si>
  <si>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</si>
  <si>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</si>
  <si>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</si>
  <si>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</si>
  <si>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</si>
  <si>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</si>
  <si>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</si>
  <si>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</si>
  <si>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</si>
  <si>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</si>
  <si>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</si>
  <si>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</si>
  <si>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</si>
  <si>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</si>
  <si>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</si>
  <si>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</si>
  <si>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</si>
  <si>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</si>
  <si>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</si>
  <si>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</si>
  <si>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</si>
  <si>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</si>
  <si>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</si>
  <si>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</si>
  <si>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</si>
  <si>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</si>
  <si>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</si>
  <si>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</si>
  <si>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</si>
  <si>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</si>
  <si>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</si>
  <si>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</si>
  <si>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</si>
  <si>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</si>
  <si>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</si>
  <si>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</si>
  <si>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</si>
  <si>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</si>
  <si>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</si>
  <si>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</si>
  <si>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</si>
  <si>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</si>
  <si>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</si>
  <si>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</si>
  <si>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</si>
  <si>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</si>
  <si>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</si>
  <si>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</si>
  <si>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</si>
  <si>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</si>
  <si>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</si>
  <si>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</si>
  <si>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</si>
  <si>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</si>
  <si>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</si>
  <si>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</si>
  <si>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</si>
  <si>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</si>
  <si>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</si>
  <si>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</si>
  <si>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</si>
  <si>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</si>
  <si>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</si>
  <si>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</si>
  <si>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</si>
  <si>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</si>
  <si>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</si>
  <si>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</si>
  <si>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</si>
  <si>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</si>
  <si>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</si>
  <si>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</si>
  <si>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</si>
  <si>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</si>
  <si>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</si>
  <si>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</si>
  <si>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</si>
  <si>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</si>
  <si>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</si>
  <si>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</si>
  <si>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</si>
  <si>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</si>
  <si>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</si>
  <si>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</si>
  <si>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</si>
  <si>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</si>
  <si>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</si>
  <si>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</si>
  <si>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</si>
  <si>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</si>
  <si>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</si>
  <si>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</si>
  <si>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</si>
  <si>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</si>
  <si>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</si>
  <si>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</si>
  <si>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</si>
  <si>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</si>
  <si>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</si>
  <si>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</si>
  <si>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</si>
  <si>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</si>
  <si>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</si>
  <si>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</si>
  <si>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</si>
  <si>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</si>
  <si>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</si>
  <si>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</si>
  <si>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</si>
  <si>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</si>
  <si>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</si>
  <si>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</si>
  <si>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</si>
  <si>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</si>
  <si>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</si>
  <si>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</si>
  <si>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</si>
  <si>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</si>
  <si>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</si>
  <si>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</si>
  <si>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</si>
  <si>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</si>
  <si>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</si>
  <si>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</si>
  <si>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</si>
  <si>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</si>
  <si>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</si>
  <si>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</si>
  <si>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</si>
  <si>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</si>
  <si>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</si>
  <si>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</si>
  <si>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</si>
  <si>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</si>
  <si>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</si>
  <si>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</si>
  <si>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</si>
  <si>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</si>
  <si>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</si>
  <si>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</si>
  <si>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</si>
  <si>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</si>
  <si>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</si>
  <si>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</si>
  <si>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</si>
  <si>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</si>
  <si>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</si>
  <si>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</si>
  <si>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</si>
  <si>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</si>
  <si>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</si>
  <si>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</si>
  <si>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</si>
  <si>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</si>
  <si>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</si>
  <si>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</si>
  <si>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</si>
  <si>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</si>
  <si>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</si>
  <si>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</si>
  <si>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</si>
  <si>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</si>
  <si>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</si>
  <si>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</si>
  <si>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</si>
  <si>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</si>
  <si>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</si>
  <si>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</si>
  <si>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</si>
  <si>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</si>
  <si>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</si>
  <si>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</si>
  <si>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</si>
  <si>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</si>
  <si>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</si>
  <si>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</si>
  <si>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</si>
  <si>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</si>
  <si>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</si>
  <si>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</si>
  <si>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</si>
  <si>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</si>
  <si>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</si>
  <si>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</si>
  <si>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</si>
  <si>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</si>
  <si>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</si>
  <si>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</si>
  <si>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</si>
  <si>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</si>
  <si>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</si>
  <si>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</si>
  <si>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</si>
  <si>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</si>
  <si>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</si>
  <si>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</si>
  <si>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</si>
  <si>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</si>
  <si>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</si>
  <si>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</si>
  <si>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</si>
  <si>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</si>
  <si>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</si>
  <si>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</si>
  <si>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</si>
  <si>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</si>
  <si>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</si>
  <si>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</si>
  <si>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</si>
  <si>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</si>
  <si>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</si>
  <si>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</si>
  <si>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</si>
  <si>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</si>
  <si>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</si>
  <si>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</si>
  <si>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</si>
  <si>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</si>
  <si>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</si>
  <si>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</si>
  <si>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</si>
  <si>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</si>
  <si>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</si>
  <si>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</si>
  <si>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</si>
  <si>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</si>
  <si>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</si>
  <si>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</si>
  <si>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</si>
  <si>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</si>
  <si>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</si>
  <si>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</si>
  <si>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</si>
  <si>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</si>
  <si>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</si>
  <si>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</si>
  <si>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</si>
  <si>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</si>
  <si>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</si>
  <si>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</si>
  <si>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</si>
  <si>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</si>
  <si>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</si>
  <si>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</si>
  <si>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</si>
  <si>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</si>
  <si>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</si>
  <si>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</si>
  <si>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</si>
  <si>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</si>
  <si>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</si>
  <si>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</si>
  <si>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</si>
  <si>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</si>
  <si>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</si>
  <si>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</si>
  <si>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</si>
  <si>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</si>
  <si>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</si>
  <si>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</si>
  <si>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</si>
  <si>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</si>
  <si>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</si>
  <si>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</si>
  <si>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</si>
  <si>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</si>
  <si>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</si>
  <si>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</si>
  <si>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</si>
  <si>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</si>
  <si>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</si>
  <si>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</si>
  <si>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</si>
  <si>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</si>
  <si>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</si>
  <si>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</si>
  <si>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</si>
  <si>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</si>
  <si>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</si>
  <si>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</si>
  <si>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</si>
  <si>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</si>
  <si>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</si>
  <si>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</si>
  <si>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</si>
  <si>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</si>
  <si>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</si>
  <si>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</si>
  <si>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</si>
  <si>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</si>
  <si>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</si>
  <si>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</si>
  <si>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</si>
  <si>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</si>
  <si>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</si>
  <si>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</si>
  <si>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</si>
  <si>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</si>
  <si>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</si>
  <si>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</si>
  <si>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</si>
  <si>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</si>
  <si>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</si>
  <si>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</si>
  <si>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</si>
  <si>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</si>
  <si>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</si>
  <si>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</si>
  <si>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</si>
  <si>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</si>
  <si>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</si>
  <si>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</si>
  <si>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</si>
  <si>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</si>
  <si>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</si>
  <si>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</si>
  <si>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</si>
  <si>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</si>
  <si>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</si>
  <si>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</si>
  <si>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</si>
  <si>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</si>
  <si>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</si>
  <si>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</si>
  <si>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</si>
  <si>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</si>
  <si>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</si>
  <si>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</si>
  <si>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</si>
  <si>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</si>
  <si>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</si>
  <si>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</si>
  <si>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</si>
  <si>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</si>
  <si>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</si>
  <si>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</si>
  <si>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</si>
  <si>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</si>
  <si>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</si>
  <si>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</si>
  <si>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</si>
  <si>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</si>
  <si>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</si>
  <si>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</si>
  <si>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</si>
  <si>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</si>
  <si>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</si>
  <si>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</si>
  <si>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</si>
  <si>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</si>
  <si>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</si>
  <si>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</si>
  <si>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</si>
  <si>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</si>
  <si>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</si>
  <si>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</si>
  <si>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</si>
  <si>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</si>
  <si>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</si>
  <si>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</si>
  <si>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</si>
  <si>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</si>
  <si>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</si>
  <si>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</si>
  <si>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</si>
  <si>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</si>
  <si>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</si>
  <si>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</si>
  <si>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</si>
  <si>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</si>
  <si>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</si>
  <si>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</si>
  <si>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</si>
  <si>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</si>
  <si>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</si>
  <si>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</si>
  <si>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</si>
  <si>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</si>
  <si>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</si>
  <si>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</si>
  <si>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</si>
  <si>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</si>
  <si>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</si>
  <si>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</si>
  <si>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</si>
  <si>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</si>
  <si>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</si>
  <si>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</si>
  <si>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</si>
  <si>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</si>
  <si>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</si>
  <si>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</si>
  <si>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</si>
  <si>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</si>
  <si>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</si>
  <si>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</si>
  <si>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</si>
  <si>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</si>
  <si>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</si>
  <si>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</si>
  <si>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</si>
  <si>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</si>
  <si>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</si>
  <si>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</si>
  <si>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</si>
  <si>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</si>
  <si>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</si>
  <si>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</si>
  <si>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</si>
  <si>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</si>
  <si>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</si>
  <si>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</si>
  <si>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</si>
  <si>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</si>
  <si>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</si>
  <si>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</si>
  <si>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</si>
  <si>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</si>
  <si>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</si>
  <si>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</si>
  <si>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</si>
  <si>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</si>
  <si>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</si>
  <si>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</si>
  <si>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</si>
  <si>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</si>
  <si>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</si>
  <si>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</si>
  <si>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</si>
  <si>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</si>
  <si>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</si>
  <si>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</si>
  <si>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</si>
  <si>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</si>
  <si>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</si>
  <si>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</si>
  <si>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</si>
  <si>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</si>
  <si>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</si>
  <si>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</si>
  <si>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</si>
  <si>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</si>
  <si>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</si>
  <si>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</si>
  <si>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</si>
  <si>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</si>
  <si>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</si>
  <si>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</si>
  <si>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</si>
  <si>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</si>
  <si>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</si>
  <si>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</si>
  <si>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</si>
  <si>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</si>
  <si>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</si>
  <si>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</si>
  <si>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</si>
  <si>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</si>
  <si>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</si>
  <si>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</si>
  <si>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</si>
  <si>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</si>
  <si>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</si>
  <si>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</si>
  <si>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</si>
  <si>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</si>
  <si>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</si>
  <si>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</si>
  <si>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</si>
  <si>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</si>
  <si>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</si>
  <si>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</si>
  <si>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</si>
  <si>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</si>
  <si>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</si>
  <si>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</si>
  <si>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</si>
  <si>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</si>
  <si>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</si>
  <si>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</si>
  <si>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</si>
  <si>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</si>
  <si>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</si>
  <si>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</si>
  <si>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</si>
  <si>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</si>
  <si>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</si>
  <si>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</si>
  <si>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</si>
  <si>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</si>
  <si>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</si>
  <si>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</si>
  <si>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</si>
  <si>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</si>
  <si>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</si>
  <si>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</si>
  <si>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</si>
  <si>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</si>
  <si>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</si>
  <si>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</si>
  <si>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</si>
  <si>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</si>
  <si>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</si>
  <si>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</si>
  <si>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</si>
  <si>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</si>
  <si>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</si>
  <si>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</si>
  <si>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</si>
  <si>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</si>
  <si>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</si>
  <si>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</si>
  <si>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</si>
  <si>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</si>
  <si>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</si>
  <si>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</si>
  <si>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</si>
  <si>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</si>
  <si>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</si>
  <si>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</si>
  <si>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</si>
  <si>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</si>
  <si>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</si>
  <si>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</si>
  <si>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</si>
  <si>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</si>
  <si>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</si>
  <si>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</si>
  <si>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</si>
  <si>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</si>
  <si>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</si>
  <si>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</si>
  <si>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</si>
  <si>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</si>
  <si>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</si>
  <si>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</si>
  <si>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</si>
  <si>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</si>
  <si>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</si>
  <si>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</si>
  <si>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</si>
  <si>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</si>
  <si>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</si>
  <si>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</si>
  <si>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</si>
  <si>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</si>
  <si>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</si>
  <si>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</si>
  <si>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</si>
  <si>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</si>
  <si>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</si>
  <si>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</si>
  <si>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</si>
  <si>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</si>
  <si>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</si>
  <si>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</si>
  <si>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</si>
  <si>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</si>
  <si>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</si>
  <si>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</si>
  <si>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</si>
  <si>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</si>
  <si>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</si>
  <si>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</si>
  <si>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</si>
  <si>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</si>
  <si>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</si>
  <si>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</si>
  <si>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</si>
  <si>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</si>
  <si>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</si>
  <si>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</si>
  <si>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</si>
  <si>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</si>
  <si>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</si>
  <si>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</si>
  <si>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</si>
  <si>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</si>
  <si>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</si>
  <si>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</si>
  <si>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</si>
  <si>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</si>
  <si>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</si>
  <si>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</si>
  <si>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</si>
  <si>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</si>
  <si>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</si>
  <si>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</si>
  <si>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</si>
  <si>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</si>
  <si>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</si>
  <si>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</si>
  <si>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</si>
  <si>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</si>
  <si>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</si>
  <si>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</si>
  <si>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</si>
  <si>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</si>
  <si>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</si>
  <si>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</si>
  <si>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</si>
  <si>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</si>
  <si>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</si>
  <si>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</si>
  <si>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</si>
  <si>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</si>
  <si>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</si>
  <si>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</si>
  <si>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</si>
  <si>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</si>
  <si>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</si>
  <si>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</si>
  <si>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</si>
  <si>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</si>
  <si>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</si>
  <si>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</si>
  <si>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</si>
  <si>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</si>
  <si>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</si>
  <si>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</si>
  <si>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</si>
  <si>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</si>
  <si>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</si>
  <si>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</si>
  <si>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</si>
  <si>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</si>
  <si>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</si>
  <si>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</si>
  <si>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</si>
  <si>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</si>
  <si>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</si>
  <si>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</si>
  <si>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</si>
  <si>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</si>
  <si>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</si>
  <si>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</si>
  <si>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</si>
  <si>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</si>
  <si>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</si>
  <si>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</si>
  <si>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</si>
  <si>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</si>
  <si>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</si>
  <si>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</si>
  <si>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</si>
  <si>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</si>
  <si>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</si>
  <si>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</si>
  <si>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</si>
  <si>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</si>
  <si>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</si>
  <si>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</si>
  <si>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</si>
  <si>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</si>
  <si>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</si>
  <si>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</si>
  <si>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</si>
  <si>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</si>
  <si>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</si>
  <si>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</si>
  <si>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</si>
  <si>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</si>
  <si>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</si>
  <si>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</si>
  <si>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</si>
  <si>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</si>
  <si>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</si>
  <si>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</si>
  <si>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</si>
  <si>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</si>
  <si>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</si>
  <si>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</si>
  <si>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</si>
  <si>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</si>
  <si>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</si>
  <si>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</si>
  <si>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</si>
  <si>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</si>
  <si>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</si>
  <si>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</si>
  <si>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</si>
  <si>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</si>
  <si>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</si>
  <si>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</si>
  <si>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</si>
  <si>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</si>
  <si>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</si>
  <si>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</si>
  <si>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</si>
  <si>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</si>
  <si>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</si>
  <si>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</si>
  <si>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</si>
  <si>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</si>
  <si>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</si>
  <si>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</si>
  <si>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</si>
  <si>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</si>
  <si>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</si>
  <si>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</si>
  <si>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</si>
  <si>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</si>
  <si>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</si>
  <si>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</si>
  <si>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</si>
  <si>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</si>
  <si>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</si>
  <si>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</si>
  <si>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</si>
  <si>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</si>
  <si>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</si>
  <si>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</si>
  <si>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</si>
  <si>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</si>
  <si>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</si>
  <si>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</si>
  <si>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</si>
  <si>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</si>
  <si>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</si>
  <si>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</si>
  <si>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</si>
  <si>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</si>
  <si>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</si>
  <si>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</si>
  <si>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</si>
  <si>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</si>
  <si>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</si>
  <si>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</si>
  <si>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</si>
  <si>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</si>
  <si>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</si>
  <si>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</si>
  <si>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</si>
  <si>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</si>
  <si>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</si>
  <si>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</si>
  <si>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</si>
  <si>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</si>
  <si>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</si>
  <si>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</si>
  <si>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</si>
  <si>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</si>
  <si>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</si>
  <si>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</si>
  <si>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</si>
  <si>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</si>
  <si>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</si>
  <si>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</si>
  <si>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</si>
  <si>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</si>
  <si>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</si>
  <si>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</si>
  <si>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</si>
  <si>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</si>
  <si>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</si>
  <si>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</si>
  <si>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</si>
  <si>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</si>
  <si>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</si>
  <si>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</si>
  <si>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</si>
  <si>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</si>
  <si>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</si>
  <si>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</si>
  <si>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</si>
  <si>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</si>
  <si>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</si>
  <si>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</si>
  <si>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</si>
  <si>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</si>
  <si>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</si>
  <si>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</si>
  <si>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</si>
  <si>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</si>
  <si>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</si>
  <si>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</si>
  <si>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</si>
  <si>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</si>
  <si>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</si>
  <si>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</si>
  <si>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</si>
  <si>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</si>
  <si>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</si>
  <si>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</si>
  <si>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</si>
  <si>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</si>
  <si>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</si>
  <si>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</si>
  <si>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</si>
  <si>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</si>
  <si>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</si>
  <si>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</si>
  <si>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</si>
  <si>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</si>
  <si>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</si>
  <si>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</si>
  <si>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</si>
  <si>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Nottingham School District</t>
  </si>
  <si>
    <t>Other Revenue - amount is large because of Health Trust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</si>
</sst>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80" zoomScaleNormal="80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413</v>
      </c>
      <c r="C2" s="21">
        <v>413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1060421.58</v>
      </c>
      <c r="G9" s="18"/>
      <c r="H9" s="18"/>
      <c r="I9" s="18"/>
      <c r="J9" s="67">
        <f>SUM(I439)</f>
        <v>144891.46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9251.1</v>
      </c>
      <c r="G12" s="18">
        <f>4073.69+23729.68</f>
        <v>27803.37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41414.89-9251.1</f>
        <v>32163.79</v>
      </c>
      <c r="G14" s="18">
        <v>592.07000000000005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3386.14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1101836.4700000002</v>
      </c>
      <c r="G19" s="41">
        <f>SUM(G9:G18)</f>
        <v>31781.579999999998</v>
      </c>
      <c r="H19" s="41">
        <f>SUM(H9:H18)</f>
        <v>0</v>
      </c>
      <c r="I19" s="41">
        <f>SUM(I9:I18)</f>
        <v>0</v>
      </c>
      <c r="J19" s="41">
        <f>SUM(J9:J18)</f>
        <v>144891.46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27803.37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f>28100.63+188.94</f>
        <v>28289.57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461996.18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123154.46-24482.42</f>
        <v>98672.040000000008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105.87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588471.59</v>
      </c>
      <c r="G32" s="41">
        <f>SUM(G22:G31)</f>
        <v>28395.439999999999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3386.14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60000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144891.46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458364.88-60000</f>
        <v>398364.88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513364.88</v>
      </c>
      <c r="G51" s="41">
        <f>SUM(G35:G50)</f>
        <v>3386.14</v>
      </c>
      <c r="H51" s="41">
        <f>SUM(H35:H50)</f>
        <v>0</v>
      </c>
      <c r="I51" s="41">
        <f>SUM(I35:I50)</f>
        <v>0</v>
      </c>
      <c r="J51" s="41">
        <f>SUM(J35:J50)</f>
        <v>144891.46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1101836.47</v>
      </c>
      <c r="G52" s="41">
        <f>G51+G32</f>
        <v>31781.579999999998</v>
      </c>
      <c r="H52" s="41">
        <f>H51+H32</f>
        <v>0</v>
      </c>
      <c r="I52" s="41">
        <f>I51+I32</f>
        <v>0</v>
      </c>
      <c r="J52" s="41">
        <f>J51+J32</f>
        <v>144891.46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7380606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7380606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6139.94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20932.13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27072.07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750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750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74.319999999999993</v>
      </c>
      <c r="G96" s="18"/>
      <c r="H96" s="18"/>
      <c r="I96" s="18"/>
      <c r="J96" s="18">
        <v>1912.59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91643.41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1057.3699999999999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157219.39000000001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158351.08000000002</v>
      </c>
      <c r="G111" s="41">
        <f>SUM(G96:G110)</f>
        <v>91643.41</v>
      </c>
      <c r="H111" s="41">
        <f>SUM(H96:H110)</f>
        <v>0</v>
      </c>
      <c r="I111" s="41">
        <f>SUM(I96:I110)</f>
        <v>0</v>
      </c>
      <c r="J111" s="41">
        <f>SUM(J96:J110)</f>
        <v>1912.59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7566779.1500000004</v>
      </c>
      <c r="G112" s="41">
        <f>G60+G111</f>
        <v>91643.41</v>
      </c>
      <c r="H112" s="41">
        <f>H60+H79+H94+H111</f>
        <v>0</v>
      </c>
      <c r="I112" s="41">
        <f>I60+I111</f>
        <v>0</v>
      </c>
      <c r="J112" s="41">
        <f>J60+J111</f>
        <v>1912.59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1362034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1334778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2696812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55243.28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2954.8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55243.28</v>
      </c>
      <c r="G136" s="41">
        <f>SUM(G123:G135)</f>
        <v>2954.8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2752055.28</v>
      </c>
      <c r="G140" s="41">
        <f>G121+SUM(G136:G137)</f>
        <v>2954.8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48838.26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74434.39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74434.39</v>
      </c>
      <c r="G162" s="41">
        <f>SUM(G150:G161)</f>
        <v>48838.26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74434.39</v>
      </c>
      <c r="G169" s="41">
        <f>G147+G162+SUM(G163:G168)</f>
        <v>48838.26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45090.49</v>
      </c>
      <c r="H179" s="18"/>
      <c r="I179" s="18"/>
      <c r="J179" s="18">
        <v>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45090.49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45090.49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10393268.82</v>
      </c>
      <c r="G193" s="47">
        <f>G112+G140+G169+G192</f>
        <v>188526.96</v>
      </c>
      <c r="H193" s="47">
        <f>H112+H140+H169+H192</f>
        <v>0</v>
      </c>
      <c r="I193" s="47">
        <f>I112+I140+I169+I192</f>
        <v>0</v>
      </c>
      <c r="J193" s="47">
        <f>J112+J140+J192</f>
        <v>41912.589999999997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1913529.06</v>
      </c>
      <c r="G197" s="18">
        <v>945847.48</v>
      </c>
      <c r="H197" s="18">
        <v>16701.98</v>
      </c>
      <c r="I197" s="18">
        <v>132814.39999999999</v>
      </c>
      <c r="J197" s="18">
        <v>0</v>
      </c>
      <c r="K197" s="18">
        <v>144</v>
      </c>
      <c r="L197" s="19">
        <f>SUM(F197:K197)</f>
        <v>3009036.92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685904.99</v>
      </c>
      <c r="G198" s="18">
        <v>281373.08</v>
      </c>
      <c r="H198" s="18">
        <f>408445.7</f>
        <v>408445.7</v>
      </c>
      <c r="I198" s="18">
        <v>3984.51</v>
      </c>
      <c r="J198" s="18">
        <v>1254.0899999999999</v>
      </c>
      <c r="K198" s="18">
        <v>6872.83</v>
      </c>
      <c r="L198" s="19">
        <f>SUM(F198:K198)</f>
        <v>1387835.2000000002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29000</v>
      </c>
      <c r="G200" s="18">
        <v>4307.1099999999997</v>
      </c>
      <c r="H200" s="18">
        <v>4570</v>
      </c>
      <c r="I200" s="18">
        <v>2421.5700000000002</v>
      </c>
      <c r="J200" s="18">
        <v>1375</v>
      </c>
      <c r="K200" s="18">
        <v>490</v>
      </c>
      <c r="L200" s="19">
        <f>SUM(F200:K200)</f>
        <v>42163.68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245725.52</v>
      </c>
      <c r="G202" s="18">
        <v>130621.85</v>
      </c>
      <c r="H202" s="18">
        <v>98153.29</v>
      </c>
      <c r="I202" s="18">
        <v>2120</v>
      </c>
      <c r="J202" s="18">
        <v>0</v>
      </c>
      <c r="K202" s="18">
        <v>0</v>
      </c>
      <c r="L202" s="19">
        <f t="shared" ref="L202:L208" si="0">SUM(F202:K202)</f>
        <v>476620.66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214182.6</v>
      </c>
      <c r="G203" s="18">
        <v>112830.03</v>
      </c>
      <c r="H203" s="18">
        <v>40913.550000000003</v>
      </c>
      <c r="I203" s="18">
        <v>15349.75</v>
      </c>
      <c r="J203" s="18">
        <v>106524.63</v>
      </c>
      <c r="K203" s="18">
        <v>0</v>
      </c>
      <c r="L203" s="19">
        <f t="shared" si="0"/>
        <v>489800.56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8791.59</v>
      </c>
      <c r="G204" s="18">
        <v>646.08000000000004</v>
      </c>
      <c r="H204" s="18">
        <v>307163.12</v>
      </c>
      <c r="I204" s="18">
        <v>0</v>
      </c>
      <c r="J204" s="18">
        <v>0</v>
      </c>
      <c r="K204" s="18">
        <v>2247.1</v>
      </c>
      <c r="L204" s="19">
        <f t="shared" si="0"/>
        <v>318847.88999999996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219049.54</v>
      </c>
      <c r="G205" s="18">
        <v>102805.85</v>
      </c>
      <c r="H205" s="18">
        <v>15067.52</v>
      </c>
      <c r="I205" s="18">
        <v>3082.13</v>
      </c>
      <c r="J205" s="18">
        <v>386.93</v>
      </c>
      <c r="K205" s="18">
        <v>1500</v>
      </c>
      <c r="L205" s="19">
        <f t="shared" si="0"/>
        <v>341891.97000000003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121908.92</v>
      </c>
      <c r="G207" s="18">
        <v>51566.26</v>
      </c>
      <c r="H207" s="18">
        <v>212674.92</v>
      </c>
      <c r="I207" s="18">
        <f>143698.69+2715</f>
        <v>146413.69</v>
      </c>
      <c r="J207" s="18">
        <v>40779.589999999997</v>
      </c>
      <c r="K207" s="18">
        <v>0</v>
      </c>
      <c r="L207" s="19">
        <f t="shared" si="0"/>
        <v>573343.38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f>369986.16+5635.29+4423.85+76833.77</f>
        <v>456879.06999999995</v>
      </c>
      <c r="I208" s="18">
        <v>0</v>
      </c>
      <c r="J208" s="18">
        <v>0</v>
      </c>
      <c r="K208" s="18">
        <v>0</v>
      </c>
      <c r="L208" s="19">
        <f t="shared" si="0"/>
        <v>456879.06999999995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3438092.2199999997</v>
      </c>
      <c r="G211" s="41">
        <f t="shared" si="1"/>
        <v>1629997.7400000005</v>
      </c>
      <c r="H211" s="41">
        <f t="shared" si="1"/>
        <v>1560569.15</v>
      </c>
      <c r="I211" s="41">
        <f t="shared" si="1"/>
        <v>306186.05000000005</v>
      </c>
      <c r="J211" s="41">
        <f t="shared" si="1"/>
        <v>150320.24</v>
      </c>
      <c r="K211" s="41">
        <f t="shared" si="1"/>
        <v>11253.93</v>
      </c>
      <c r="L211" s="41">
        <f t="shared" si="1"/>
        <v>7096419.3299999991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2518753.2599999998</v>
      </c>
      <c r="I233" s="18"/>
      <c r="J233" s="18"/>
      <c r="K233" s="18"/>
      <c r="L233" s="19">
        <f>SUM(F233:K233)</f>
        <v>2518753.2599999998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223915.38+32265</f>
        <v>256180.38</v>
      </c>
      <c r="I234" s="18"/>
      <c r="J234" s="18"/>
      <c r="K234" s="18"/>
      <c r="L234" s="19">
        <f>SUM(F234:K234)</f>
        <v>256180.38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5163.3100000000004</v>
      </c>
      <c r="G240" s="18">
        <v>379.45</v>
      </c>
      <c r="H240" s="18">
        <v>180397.39</v>
      </c>
      <c r="I240" s="18">
        <v>0</v>
      </c>
      <c r="J240" s="18">
        <v>0</v>
      </c>
      <c r="K240" s="18">
        <v>1319.72</v>
      </c>
      <c r="L240" s="19">
        <f t="shared" si="4"/>
        <v>187259.87000000002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140281+209574</f>
        <v>349855</v>
      </c>
      <c r="I244" s="18"/>
      <c r="J244" s="18"/>
      <c r="K244" s="18"/>
      <c r="L244" s="19">
        <f t="shared" si="4"/>
        <v>349855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5163.3100000000004</v>
      </c>
      <c r="G247" s="41">
        <f t="shared" si="5"/>
        <v>379.45</v>
      </c>
      <c r="H247" s="41">
        <f t="shared" si="5"/>
        <v>3305186.03</v>
      </c>
      <c r="I247" s="41">
        <f t="shared" si="5"/>
        <v>0</v>
      </c>
      <c r="J247" s="41">
        <f t="shared" si="5"/>
        <v>0</v>
      </c>
      <c r="K247" s="41">
        <f t="shared" si="5"/>
        <v>1319.72</v>
      </c>
      <c r="L247" s="41">
        <f t="shared" si="5"/>
        <v>3312048.51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3443255.53</v>
      </c>
      <c r="G257" s="41">
        <f t="shared" si="8"/>
        <v>1630377.1900000004</v>
      </c>
      <c r="H257" s="41">
        <f t="shared" si="8"/>
        <v>4865755.18</v>
      </c>
      <c r="I257" s="41">
        <f t="shared" si="8"/>
        <v>306186.05000000005</v>
      </c>
      <c r="J257" s="41">
        <f t="shared" si="8"/>
        <v>150320.24</v>
      </c>
      <c r="K257" s="41">
        <f t="shared" si="8"/>
        <v>12573.65</v>
      </c>
      <c r="L257" s="41">
        <f t="shared" si="8"/>
        <v>10408467.84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45090.49</v>
      </c>
      <c r="L263" s="19">
        <f>SUM(F263:K263)</f>
        <v>45090.49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</v>
      </c>
      <c r="L266" s="19">
        <f t="shared" si="9"/>
        <v>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85090.489999999991</v>
      </c>
      <c r="L270" s="41">
        <f t="shared" si="9"/>
        <v>85090.489999999991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3443255.53</v>
      </c>
      <c r="G271" s="42">
        <f t="shared" si="11"/>
        <v>1630377.1900000004</v>
      </c>
      <c r="H271" s="42">
        <f t="shared" si="11"/>
        <v>4865755.18</v>
      </c>
      <c r="I271" s="42">
        <f t="shared" si="11"/>
        <v>306186.05000000005</v>
      </c>
      <c r="J271" s="42">
        <f t="shared" si="11"/>
        <v>150320.24</v>
      </c>
      <c r="K271" s="42">
        <f t="shared" si="11"/>
        <v>97664.139999999985</v>
      </c>
      <c r="L271" s="42">
        <f t="shared" si="11"/>
        <v>10493558.33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61647.07+2576.25</f>
        <v>64223.32</v>
      </c>
      <c r="G358" s="18">
        <f>22539.52+544.2+84+4881.8+4300.14+128.07</f>
        <v>32477.73</v>
      </c>
      <c r="H358" s="18">
        <f>2393</f>
        <v>2393</v>
      </c>
      <c r="I358" s="18">
        <f>2733.52+59965.97+299</f>
        <v>62998.49</v>
      </c>
      <c r="J358" s="18">
        <f>26301.09+188.94</f>
        <v>26490.03</v>
      </c>
      <c r="K358" s="18">
        <v>0</v>
      </c>
      <c r="L358" s="13">
        <f>SUM(F358:K358)</f>
        <v>188582.57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64223.32</v>
      </c>
      <c r="G362" s="47">
        <f t="shared" si="22"/>
        <v>32477.73</v>
      </c>
      <c r="H362" s="47">
        <f t="shared" si="22"/>
        <v>2393</v>
      </c>
      <c r="I362" s="47">
        <f t="shared" si="22"/>
        <v>62998.49</v>
      </c>
      <c r="J362" s="47">
        <f t="shared" si="22"/>
        <v>26490.03</v>
      </c>
      <c r="K362" s="47">
        <f t="shared" si="22"/>
        <v>0</v>
      </c>
      <c r="L362" s="47">
        <f t="shared" si="22"/>
        <v>188582.57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59965.97</v>
      </c>
      <c r="G367" s="18"/>
      <c r="H367" s="18"/>
      <c r="I367" s="56">
        <f>SUM(F367:H367)</f>
        <v>59965.97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2733.52+299</f>
        <v>3032.52</v>
      </c>
      <c r="G368" s="63"/>
      <c r="H368" s="63"/>
      <c r="I368" s="56">
        <f>SUM(F368:H368)</f>
        <v>3032.52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62998.49</v>
      </c>
      <c r="G369" s="47">
        <f>SUM(G367:G368)</f>
        <v>0</v>
      </c>
      <c r="H369" s="47">
        <f>SUM(H367:H368)</f>
        <v>0</v>
      </c>
      <c r="I369" s="47">
        <f>SUM(I367:I368)</f>
        <v>62998.49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564.42999999999995</v>
      </c>
      <c r="I396" s="18"/>
      <c r="J396" s="24" t="s">
        <v>289</v>
      </c>
      <c r="K396" s="24" t="s">
        <v>289</v>
      </c>
      <c r="L396" s="56">
        <f t="shared" si="26"/>
        <v>25564.43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15000</v>
      </c>
      <c r="H397" s="18">
        <v>1348.16</v>
      </c>
      <c r="I397" s="18"/>
      <c r="J397" s="24" t="s">
        <v>289</v>
      </c>
      <c r="K397" s="24" t="s">
        <v>289</v>
      </c>
      <c r="L397" s="56">
        <f t="shared" si="26"/>
        <v>16348.16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1912.5900000000001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41912.589999999997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1912.5900000000001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41912.589999999997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144891.46</v>
      </c>
      <c r="G439" s="18"/>
      <c r="H439" s="18"/>
      <c r="I439" s="56">
        <f t="shared" ref="I439:I445" si="33">SUM(F439:H439)</f>
        <v>144891.46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144891.46</v>
      </c>
      <c r="G446" s="13">
        <f>SUM(G439:G445)</f>
        <v>0</v>
      </c>
      <c r="H446" s="13">
        <f>SUM(H439:H445)</f>
        <v>0</v>
      </c>
      <c r="I446" s="13">
        <f>SUM(I439:I445)</f>
        <v>144891.46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144891.46</v>
      </c>
      <c r="G459" s="18"/>
      <c r="H459" s="18"/>
      <c r="I459" s="56">
        <f t="shared" si="34"/>
        <v>144891.46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144891.46</v>
      </c>
      <c r="G460" s="83">
        <f>SUM(G454:G459)</f>
        <v>0</v>
      </c>
      <c r="H460" s="83">
        <f>SUM(H454:H459)</f>
        <v>0</v>
      </c>
      <c r="I460" s="83">
        <f>SUM(I454:I459)</f>
        <v>144891.46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144891.46</v>
      </c>
      <c r="G461" s="42">
        <f>G452+G460</f>
        <v>0</v>
      </c>
      <c r="H461" s="42">
        <f>H452+H460</f>
        <v>0</v>
      </c>
      <c r="I461" s="42">
        <f>I452+I460</f>
        <v>144891.46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613654.39</v>
      </c>
      <c r="G465" s="18">
        <v>3441.75</v>
      </c>
      <c r="H465" s="18"/>
      <c r="I465" s="18"/>
      <c r="J465" s="18">
        <v>102978.87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10393268.82</v>
      </c>
      <c r="G468" s="18">
        <v>188526.96</v>
      </c>
      <c r="H468" s="18"/>
      <c r="I468" s="18"/>
      <c r="J468" s="18">
        <v>41912.589999999997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10393268.82</v>
      </c>
      <c r="G470" s="53">
        <f>SUM(G468:G469)</f>
        <v>188526.96</v>
      </c>
      <c r="H470" s="53">
        <f>SUM(H468:H469)</f>
        <v>0</v>
      </c>
      <c r="I470" s="53">
        <f>SUM(I468:I469)</f>
        <v>0</v>
      </c>
      <c r="J470" s="53">
        <f>SUM(J468:J469)</f>
        <v>41912.589999999997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10493558.33</v>
      </c>
      <c r="G472" s="18">
        <f>188393.63+188.94</f>
        <v>188582.57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10493558.33</v>
      </c>
      <c r="G474" s="53">
        <f>SUM(G472:G473)</f>
        <v>188582.57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513364.88000000082</v>
      </c>
      <c r="G476" s="53">
        <f>(G465+G470)- G474</f>
        <v>3386.1399999999849</v>
      </c>
      <c r="H476" s="53">
        <f>(H465+H470)- H474</f>
        <v>0</v>
      </c>
      <c r="I476" s="53">
        <f>(I465+I470)- I474</f>
        <v>0</v>
      </c>
      <c r="J476" s="53">
        <f>(J465+J470)- J474</f>
        <v>144891.46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685904.99</v>
      </c>
      <c r="G521" s="18">
        <v>281373.08</v>
      </c>
      <c r="H521" s="18">
        <v>408445.7</v>
      </c>
      <c r="I521" s="18">
        <v>3984.51</v>
      </c>
      <c r="J521" s="18">
        <v>1254.0899999999999</v>
      </c>
      <c r="K521" s="18">
        <v>6872.83</v>
      </c>
      <c r="L521" s="88">
        <f>SUM(F521:K521)</f>
        <v>1387835.2000000002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26547</v>
      </c>
      <c r="I523" s="18"/>
      <c r="J523" s="18"/>
      <c r="K523" s="18"/>
      <c r="L523" s="88">
        <f>SUM(F523:K523)</f>
        <v>26547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685904.99</v>
      </c>
      <c r="G524" s="108">
        <f t="shared" ref="G524:L524" si="36">SUM(G521:G523)</f>
        <v>281373.08</v>
      </c>
      <c r="H524" s="108">
        <f t="shared" si="36"/>
        <v>434992.7</v>
      </c>
      <c r="I524" s="108">
        <f t="shared" si="36"/>
        <v>3984.51</v>
      </c>
      <c r="J524" s="108">
        <f t="shared" si="36"/>
        <v>1254.0899999999999</v>
      </c>
      <c r="K524" s="108">
        <f t="shared" si="36"/>
        <v>6872.83</v>
      </c>
      <c r="L524" s="89">
        <f t="shared" si="36"/>
        <v>1414382.2000000002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98153.2</v>
      </c>
      <c r="I526" s="18"/>
      <c r="J526" s="18"/>
      <c r="K526" s="18"/>
      <c r="L526" s="88">
        <f>SUM(F526:K526)</f>
        <v>98153.2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98153.2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98153.2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51275.21</v>
      </c>
      <c r="I531" s="18"/>
      <c r="J531" s="18"/>
      <c r="K531" s="18"/>
      <c r="L531" s="88">
        <f>SUM(F531:K531)</f>
        <v>51275.21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30114.02</v>
      </c>
      <c r="I533" s="18"/>
      <c r="J533" s="18"/>
      <c r="K533" s="18"/>
      <c r="L533" s="88">
        <f>SUM(F533:K533)</f>
        <v>30114.02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81389.23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81389.23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76833.77</v>
      </c>
      <c r="I541" s="18"/>
      <c r="J541" s="18"/>
      <c r="K541" s="18"/>
      <c r="L541" s="88">
        <f>SUM(F541:K541)</f>
        <v>76833.77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140281</v>
      </c>
      <c r="I543" s="18"/>
      <c r="J543" s="18"/>
      <c r="K543" s="18"/>
      <c r="L543" s="88">
        <f>SUM(F543:K543)</f>
        <v>140281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217114.77000000002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217114.77000000002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685904.99</v>
      </c>
      <c r="G545" s="89">
        <f t="shared" ref="G545:L545" si="41">G524+G529+G534+G539+G544</f>
        <v>281373.08</v>
      </c>
      <c r="H545" s="89">
        <f t="shared" si="41"/>
        <v>831649.9</v>
      </c>
      <c r="I545" s="89">
        <f t="shared" si="41"/>
        <v>3984.51</v>
      </c>
      <c r="J545" s="89">
        <f t="shared" si="41"/>
        <v>1254.0899999999999</v>
      </c>
      <c r="K545" s="89">
        <f t="shared" si="41"/>
        <v>6872.83</v>
      </c>
      <c r="L545" s="89">
        <f t="shared" si="41"/>
        <v>1811039.4000000001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1387835.2000000002</v>
      </c>
      <c r="G549" s="87">
        <f>L526</f>
        <v>98153.2</v>
      </c>
      <c r="H549" s="87">
        <f>L531</f>
        <v>51275.21</v>
      </c>
      <c r="I549" s="87">
        <f>L536</f>
        <v>0</v>
      </c>
      <c r="J549" s="87">
        <f>L541</f>
        <v>76833.77</v>
      </c>
      <c r="K549" s="87">
        <f>SUM(F549:J549)</f>
        <v>1614097.3800000001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26547</v>
      </c>
      <c r="G551" s="87">
        <f>L528</f>
        <v>0</v>
      </c>
      <c r="H551" s="87">
        <f>L533</f>
        <v>30114.02</v>
      </c>
      <c r="I551" s="87">
        <f>L538</f>
        <v>0</v>
      </c>
      <c r="J551" s="87">
        <f>L543</f>
        <v>140281</v>
      </c>
      <c r="K551" s="87">
        <f>SUM(F551:J551)</f>
        <v>196942.02000000002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1414382.2000000002</v>
      </c>
      <c r="G552" s="89">
        <f t="shared" si="42"/>
        <v>98153.2</v>
      </c>
      <c r="H552" s="89">
        <f t="shared" si="42"/>
        <v>81389.23</v>
      </c>
      <c r="I552" s="89">
        <f t="shared" si="42"/>
        <v>0</v>
      </c>
      <c r="J552" s="89">
        <f t="shared" si="42"/>
        <v>217114.77000000002</v>
      </c>
      <c r="K552" s="89">
        <f t="shared" si="42"/>
        <v>1811039.4000000001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1099132.71</v>
      </c>
      <c r="I575" s="87">
        <f>SUM(F575:H575)</f>
        <v>1099132.71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1419620.355</v>
      </c>
      <c r="I577" s="87">
        <f t="shared" si="47"/>
        <v>1419620.355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192097.16</v>
      </c>
      <c r="G579" s="18"/>
      <c r="H579" s="18">
        <v>197367.77</v>
      </c>
      <c r="I579" s="87">
        <f t="shared" si="47"/>
        <v>389464.93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43092</v>
      </c>
      <c r="G580" s="18"/>
      <c r="H580" s="18">
        <v>0</v>
      </c>
      <c r="I580" s="87">
        <f t="shared" si="47"/>
        <v>43092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32265</v>
      </c>
      <c r="I581" s="87">
        <f t="shared" si="47"/>
        <v>32265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173256.54</v>
      </c>
      <c r="I582" s="87">
        <f t="shared" si="47"/>
        <v>173256.54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369986.16</v>
      </c>
      <c r="I591" s="18"/>
      <c r="J591" s="18">
        <f>209574</f>
        <v>209574</v>
      </c>
      <c r="K591" s="104">
        <f t="shared" ref="K591:K597" si="48">SUM(H591:J591)</f>
        <v>579560.15999999992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76833.77</v>
      </c>
      <c r="I592" s="18"/>
      <c r="J592" s="18">
        <v>140281</v>
      </c>
      <c r="K592" s="104">
        <f t="shared" si="48"/>
        <v>217114.77000000002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4423.8500000000004</v>
      </c>
      <c r="I594" s="18"/>
      <c r="J594" s="18"/>
      <c r="K594" s="104">
        <f t="shared" si="48"/>
        <v>4423.8500000000004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5635.29</v>
      </c>
      <c r="I595" s="18"/>
      <c r="J595" s="18"/>
      <c r="K595" s="104">
        <f t="shared" si="48"/>
        <v>5635.29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456879.06999999995</v>
      </c>
      <c r="I598" s="108">
        <f>SUM(I591:I597)</f>
        <v>0</v>
      </c>
      <c r="J598" s="108">
        <f>SUM(J591:J597)</f>
        <v>349855</v>
      </c>
      <c r="K598" s="108">
        <f>SUM(K591:K597)</f>
        <v>806734.07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150320.24</v>
      </c>
      <c r="I604" s="18"/>
      <c r="J604" s="18"/>
      <c r="K604" s="104">
        <f>SUM(H604:J604)</f>
        <v>150320.24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150320.24</v>
      </c>
      <c r="I605" s="108">
        <f>SUM(I602:I604)</f>
        <v>0</v>
      </c>
      <c r="J605" s="108">
        <f>SUM(J602:J604)</f>
        <v>0</v>
      </c>
      <c r="K605" s="108">
        <f>SUM(K602:K604)</f>
        <v>150320.24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21372.5</v>
      </c>
      <c r="G611" s="18">
        <v>1956.24</v>
      </c>
      <c r="H611" s="18">
        <v>2599.6</v>
      </c>
      <c r="I611" s="18">
        <v>0</v>
      </c>
      <c r="J611" s="18">
        <v>0</v>
      </c>
      <c r="K611" s="18">
        <v>0</v>
      </c>
      <c r="L611" s="88">
        <f>SUM(F611:K611)</f>
        <v>25928.34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21372.5</v>
      </c>
      <c r="G614" s="108">
        <f t="shared" si="49"/>
        <v>1956.24</v>
      </c>
      <c r="H614" s="108">
        <f t="shared" si="49"/>
        <v>2599.6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25928.34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1101836.4700000002</v>
      </c>
      <c r="H617" s="109">
        <f>SUM(F52)</f>
        <v>1101836.47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31781.579999999998</v>
      </c>
      <c r="H618" s="109">
        <f>SUM(G52)</f>
        <v>31781.579999999998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144891.46</v>
      </c>
      <c r="H621" s="109">
        <f>SUM(J52)</f>
        <v>144891.46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513364.88</v>
      </c>
      <c r="H622" s="109">
        <f>F476</f>
        <v>513364.88000000082</v>
      </c>
      <c r="I622" s="121" t="s">
        <v>101</v>
      </c>
      <c r="J622" s="109">
        <f t="shared" ref="J622:J655" si="50">G622-H622</f>
        <v>-8.149072527885437E-10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3386.14</v>
      </c>
      <c r="H623" s="109">
        <f>G476</f>
        <v>3386.1399999999849</v>
      </c>
      <c r="I623" s="121" t="s">
        <v>102</v>
      </c>
      <c r="J623" s="109">
        <f t="shared" si="50"/>
        <v>1.5006662579253316E-11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144891.46</v>
      </c>
      <c r="H626" s="109">
        <f>J476</f>
        <v>144891.46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10393268.82</v>
      </c>
      <c r="H627" s="104">
        <f>SUM(F468)</f>
        <v>10393268.82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188526.96</v>
      </c>
      <c r="H628" s="104">
        <f>SUM(G468)</f>
        <v>188526.96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41912.589999999997</v>
      </c>
      <c r="H631" s="104">
        <f>SUM(J468)</f>
        <v>41912.589999999997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10493558.33</v>
      </c>
      <c r="H632" s="104">
        <f>SUM(F472)</f>
        <v>10493558.33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62998.49</v>
      </c>
      <c r="H634" s="104">
        <f>I369</f>
        <v>62998.49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188582.57</v>
      </c>
      <c r="H635" s="104">
        <f>SUM(G472)</f>
        <v>188582.57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41912.589999999997</v>
      </c>
      <c r="H637" s="164">
        <f>SUM(J468)</f>
        <v>41912.589999999997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144891.46</v>
      </c>
      <c r="H639" s="104">
        <f>SUM(F461)</f>
        <v>144891.46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144891.46</v>
      </c>
      <c r="H642" s="104">
        <f>SUM(I461)</f>
        <v>144891.46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1912.59</v>
      </c>
      <c r="H644" s="104">
        <f>H408</f>
        <v>1912.5900000000001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</v>
      </c>
      <c r="H645" s="104">
        <f>G408</f>
        <v>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41912.589999999997</v>
      </c>
      <c r="H646" s="104">
        <f>L408</f>
        <v>41912.589999999997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806734.07</v>
      </c>
      <c r="H647" s="104">
        <f>L208+L226+L244</f>
        <v>806734.07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150320.24</v>
      </c>
      <c r="H648" s="104">
        <f>(J257+J338)-(J255+J336)</f>
        <v>150320.24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456879.06999999995</v>
      </c>
      <c r="H649" s="104">
        <f>H598</f>
        <v>456879.06999999995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349855</v>
      </c>
      <c r="H651" s="104">
        <f>J598</f>
        <v>349855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45090.49</v>
      </c>
      <c r="H652" s="104">
        <f>K263+K345</f>
        <v>45090.49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</v>
      </c>
      <c r="H655" s="104">
        <f>K266+K347</f>
        <v>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7285001.8999999994</v>
      </c>
      <c r="G660" s="19">
        <f>(L229+L309+L359)</f>
        <v>0</v>
      </c>
      <c r="H660" s="19">
        <f>(L247+L328+L360)</f>
        <v>3312048.51</v>
      </c>
      <c r="I660" s="19">
        <f>SUM(F660:H660)</f>
        <v>10597050.41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91643.41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91643.41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456879.06999999995</v>
      </c>
      <c r="G662" s="19">
        <f>(L226+L306)-(J226+J306)</f>
        <v>0</v>
      </c>
      <c r="H662" s="19">
        <f>(L244+L325)-(J244+J325)</f>
        <v>349855</v>
      </c>
      <c r="I662" s="19">
        <f>SUM(F662:H662)</f>
        <v>806734.07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411437.74000000005</v>
      </c>
      <c r="G663" s="199">
        <f>SUM(G575:G587)+SUM(I602:I604)+L612</f>
        <v>0</v>
      </c>
      <c r="H663" s="199">
        <f>SUM(H575:H587)+SUM(J602:J604)+L613</f>
        <v>2921642.375</v>
      </c>
      <c r="I663" s="19">
        <f>SUM(F663:H663)</f>
        <v>3333080.1150000002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6325041.6799999997</v>
      </c>
      <c r="G664" s="19">
        <f>G660-SUM(G661:G663)</f>
        <v>0</v>
      </c>
      <c r="H664" s="19">
        <f>H660-SUM(H661:H663)</f>
        <v>40551.134999999776</v>
      </c>
      <c r="I664" s="19">
        <f>I660-SUM(I661:I663)</f>
        <v>6365592.8149999995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485.57</v>
      </c>
      <c r="G665" s="248"/>
      <c r="H665" s="248"/>
      <c r="I665" s="19">
        <f>SUM(F665:H665)</f>
        <v>485.57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13026.01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13109.53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-40551.129999999997</v>
      </c>
      <c r="I669" s="19">
        <f>SUM(F669:H669)</f>
        <v>-40551.129999999997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13026.01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13026.01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Nottingham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1913529.06</v>
      </c>
      <c r="C9" s="229">
        <f>'DOE25'!G197+'DOE25'!G215+'DOE25'!G233+'DOE25'!G276+'DOE25'!G295+'DOE25'!G314</f>
        <v>945847.48</v>
      </c>
    </row>
    <row r="10" spans="1:3" x14ac:dyDescent="0.2">
      <c r="A10" t="s">
        <v>779</v>
      </c>
      <c r="B10" s="240">
        <v>1851130.5</v>
      </c>
      <c r="C10" s="240">
        <v>941136.05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f>33481.4+28767.16+150</f>
        <v>62398.559999999998</v>
      </c>
      <c r="C12" s="240">
        <v>4711.43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1913529.06</v>
      </c>
      <c r="C13" s="231">
        <f>SUM(C10:C12)</f>
        <v>945847.4800000001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685904.99</v>
      </c>
      <c r="C18" s="229">
        <f>'DOE25'!G198+'DOE25'!G216+'DOE25'!G234+'DOE25'!G277+'DOE25'!G296+'DOE25'!G315</f>
        <v>281373.08</v>
      </c>
    </row>
    <row r="19" spans="1:3" x14ac:dyDescent="0.2">
      <c r="A19" t="s">
        <v>779</v>
      </c>
      <c r="B19" s="240">
        <v>263580.78000000003</v>
      </c>
      <c r="C19" s="240">
        <v>118558.07</v>
      </c>
    </row>
    <row r="20" spans="1:3" x14ac:dyDescent="0.2">
      <c r="A20" t="s">
        <v>780</v>
      </c>
      <c r="B20" s="240">
        <v>341395.3</v>
      </c>
      <c r="C20" s="240">
        <v>151961.28</v>
      </c>
    </row>
    <row r="21" spans="1:3" x14ac:dyDescent="0.2">
      <c r="A21" t="s">
        <v>781</v>
      </c>
      <c r="B21" s="240">
        <v>80928.91</v>
      </c>
      <c r="C21" s="240">
        <v>10853.73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685904.99000000011</v>
      </c>
      <c r="C22" s="231">
        <f>SUM(C19:C21)</f>
        <v>281373.07999999996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29000</v>
      </c>
      <c r="C36" s="235">
        <f>'DOE25'!G200+'DOE25'!G218+'DOE25'!G236+'DOE25'!G279+'DOE25'!G298+'DOE25'!G317</f>
        <v>4307.1099999999997</v>
      </c>
    </row>
    <row r="37" spans="1:3" x14ac:dyDescent="0.2">
      <c r="A37" t="s">
        <v>779</v>
      </c>
      <c r="B37" s="240">
        <v>15250</v>
      </c>
      <c r="C37" s="240">
        <v>3254.83</v>
      </c>
    </row>
    <row r="38" spans="1:3" x14ac:dyDescent="0.2">
      <c r="A38" t="s">
        <v>780</v>
      </c>
      <c r="B38" s="240">
        <v>7000</v>
      </c>
      <c r="C38" s="240">
        <v>535.9</v>
      </c>
    </row>
    <row r="39" spans="1:3" x14ac:dyDescent="0.2">
      <c r="A39" t="s">
        <v>781</v>
      </c>
      <c r="B39" s="240">
        <v>6750</v>
      </c>
      <c r="C39" s="240">
        <v>516.38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29000</v>
      </c>
      <c r="C40" s="231">
        <f>SUM(C37:C39)</f>
        <v>4307.1099999999997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Nottingham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7213969.4399999995</v>
      </c>
      <c r="D5" s="20">
        <f>SUM('DOE25'!L197:L200)+SUM('DOE25'!L215:L218)+SUM('DOE25'!L233:L236)-F5-G5</f>
        <v>7203833.5199999996</v>
      </c>
      <c r="E5" s="243"/>
      <c r="F5" s="255">
        <f>SUM('DOE25'!J197:J200)+SUM('DOE25'!J215:J218)+SUM('DOE25'!J233:J236)</f>
        <v>2629.09</v>
      </c>
      <c r="G5" s="53">
        <f>SUM('DOE25'!K197:K200)+SUM('DOE25'!K215:K218)+SUM('DOE25'!K233:K236)</f>
        <v>7506.83</v>
      </c>
      <c r="H5" s="259"/>
    </row>
    <row r="6" spans="1:9" x14ac:dyDescent="0.2">
      <c r="A6" s="32">
        <v>2100</v>
      </c>
      <c r="B6" t="s">
        <v>801</v>
      </c>
      <c r="C6" s="245">
        <f t="shared" si="0"/>
        <v>476620.66</v>
      </c>
      <c r="D6" s="20">
        <f>'DOE25'!L202+'DOE25'!L220+'DOE25'!L238-F6-G6</f>
        <v>476620.66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489800.56</v>
      </c>
      <c r="D7" s="20">
        <f>'DOE25'!L203+'DOE25'!L221+'DOE25'!L239-F7-G7</f>
        <v>383275.93</v>
      </c>
      <c r="E7" s="243"/>
      <c r="F7" s="255">
        <f>'DOE25'!J203+'DOE25'!J221+'DOE25'!J239</f>
        <v>106524.63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318554.52</v>
      </c>
      <c r="D8" s="243"/>
      <c r="E8" s="20">
        <f>'DOE25'!L204+'DOE25'!L222+'DOE25'!L240-F8-G8-D9-D11</f>
        <v>314987.7</v>
      </c>
      <c r="F8" s="255">
        <f>'DOE25'!J204+'DOE25'!J222+'DOE25'!J240</f>
        <v>0</v>
      </c>
      <c r="G8" s="53">
        <f>'DOE25'!K204+'DOE25'!K222+'DOE25'!K240</f>
        <v>3566.8199999999997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76852.36</v>
      </c>
      <c r="D9" s="244">
        <f>85102.36-8250</f>
        <v>76852.36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8250</v>
      </c>
      <c r="D10" s="243"/>
      <c r="E10" s="244">
        <v>8250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110700.88</v>
      </c>
      <c r="D11" s="244">
        <v>110700.88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341891.97000000003</v>
      </c>
      <c r="D12" s="20">
        <f>'DOE25'!L205+'DOE25'!L223+'DOE25'!L241-F12-G12</f>
        <v>340005.04000000004</v>
      </c>
      <c r="E12" s="243"/>
      <c r="F12" s="255">
        <f>'DOE25'!J205+'DOE25'!J223+'DOE25'!J241</f>
        <v>386.93</v>
      </c>
      <c r="G12" s="53">
        <f>'DOE25'!K205+'DOE25'!K223+'DOE25'!K241</f>
        <v>1500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573343.38</v>
      </c>
      <c r="D14" s="20">
        <f>'DOE25'!L207+'DOE25'!L225+'DOE25'!L243-F14-G14</f>
        <v>532563.79</v>
      </c>
      <c r="E14" s="243"/>
      <c r="F14" s="255">
        <f>'DOE25'!J207+'DOE25'!J225+'DOE25'!J243</f>
        <v>40779.589999999997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806734.07</v>
      </c>
      <c r="D15" s="20">
        <f>'DOE25'!L208+'DOE25'!L226+'DOE25'!L244-F15-G15</f>
        <v>806734.07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128616.6</v>
      </c>
      <c r="D29" s="20">
        <f>'DOE25'!L358+'DOE25'!L359+'DOE25'!L360-'DOE25'!I367-F29-G29</f>
        <v>102126.57</v>
      </c>
      <c r="E29" s="243"/>
      <c r="F29" s="255">
        <f>'DOE25'!J358+'DOE25'!J359+'DOE25'!J360</f>
        <v>26490.03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10032712.82</v>
      </c>
      <c r="E33" s="246">
        <f>SUM(E5:E31)</f>
        <v>323237.7</v>
      </c>
      <c r="F33" s="246">
        <f>SUM(F5:F31)</f>
        <v>176810.27</v>
      </c>
      <c r="G33" s="246">
        <f>SUM(G5:G31)</f>
        <v>12573.65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323237.7</v>
      </c>
      <c r="E35" s="249"/>
    </row>
    <row r="36" spans="2:8" ht="12" thickTop="1" x14ac:dyDescent="0.2">
      <c r="B36" t="s">
        <v>815</v>
      </c>
      <c r="D36" s="20">
        <f>D33</f>
        <v>10032712.82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Nottingham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1060421.58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144891.46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9251.1</v>
      </c>
      <c r="D11" s="95">
        <f>'DOE25'!G12</f>
        <v>27803.37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32163.79</v>
      </c>
      <c r="D13" s="95">
        <f>'DOE25'!G14</f>
        <v>592.07000000000005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3386.14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1101836.4700000002</v>
      </c>
      <c r="D18" s="41">
        <f>SUM(D8:D17)</f>
        <v>31781.579999999998</v>
      </c>
      <c r="E18" s="41">
        <f>SUM(E8:E17)</f>
        <v>0</v>
      </c>
      <c r="F18" s="41">
        <f>SUM(F8:F17)</f>
        <v>0</v>
      </c>
      <c r="G18" s="41">
        <f>SUM(G8:G17)</f>
        <v>144891.46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27803.37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28289.57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461996.18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98672.040000000008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105.87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588471.59</v>
      </c>
      <c r="D31" s="41">
        <f>SUM(D21:D30)</f>
        <v>28395.439999999999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3386.14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60000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144891.46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398364.88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513364.88</v>
      </c>
      <c r="D50" s="41">
        <f>SUM(D34:D49)</f>
        <v>3386.14</v>
      </c>
      <c r="E50" s="41">
        <f>SUM(E34:E49)</f>
        <v>0</v>
      </c>
      <c r="F50" s="41">
        <f>SUM(F34:F49)</f>
        <v>0</v>
      </c>
      <c r="G50" s="41">
        <f>SUM(G34:G49)</f>
        <v>144891.46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1101836.47</v>
      </c>
      <c r="D51" s="41">
        <f>D50+D31</f>
        <v>31781.579999999998</v>
      </c>
      <c r="E51" s="41">
        <f>E50+E31</f>
        <v>0</v>
      </c>
      <c r="F51" s="41">
        <f>F50+F31</f>
        <v>0</v>
      </c>
      <c r="G51" s="41">
        <f>G50+G31</f>
        <v>144891.46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7380606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27072.07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750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74.319999999999993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1912.59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91643.41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158276.76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186173.15000000002</v>
      </c>
      <c r="D62" s="130">
        <f>SUM(D57:D61)</f>
        <v>91643.41</v>
      </c>
      <c r="E62" s="130">
        <f>SUM(E57:E61)</f>
        <v>0</v>
      </c>
      <c r="F62" s="130">
        <f>SUM(F57:F61)</f>
        <v>0</v>
      </c>
      <c r="G62" s="130">
        <f>SUM(G57:G61)</f>
        <v>1912.59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7566779.1500000004</v>
      </c>
      <c r="D63" s="22">
        <f>D56+D62</f>
        <v>91643.41</v>
      </c>
      <c r="E63" s="22">
        <f>E56+E62</f>
        <v>0</v>
      </c>
      <c r="F63" s="22">
        <f>F56+F62</f>
        <v>0</v>
      </c>
      <c r="G63" s="22">
        <f>G56+G62</f>
        <v>1912.59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1362034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1334778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2696812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55243.28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2954.8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55243.28</v>
      </c>
      <c r="D78" s="130">
        <f>SUM(D72:D77)</f>
        <v>2954.8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2752055.28</v>
      </c>
      <c r="D81" s="130">
        <f>SUM(D79:D80)+D78+D70</f>
        <v>2954.8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74434.39</v>
      </c>
      <c r="D88" s="95">
        <f>SUM('DOE25'!G153:G161)</f>
        <v>48838.26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74434.39</v>
      </c>
      <c r="D91" s="131">
        <f>SUM(D85:D90)</f>
        <v>48838.26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45090.49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45090.49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765</v>
      </c>
      <c r="C104" s="86">
        <f>C63+C81+C91+C103</f>
        <v>10393268.82</v>
      </c>
      <c r="D104" s="86">
        <f>D63+D81+D91+D103</f>
        <v>188526.96</v>
      </c>
      <c r="E104" s="86">
        <f>E63+E81+E91+E103</f>
        <v>0</v>
      </c>
      <c r="F104" s="86">
        <f>F63+F81+F91+F103</f>
        <v>0</v>
      </c>
      <c r="G104" s="86">
        <f>G63+G81+G103</f>
        <v>41912.589999999997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5527790.1799999997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1644015.58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42163.68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7213969.4399999995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476620.66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489800.56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506107.76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341891.97000000003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573343.38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806734.07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188582.57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3194498.4</v>
      </c>
      <c r="D128" s="86">
        <f>SUM(D118:D127)</f>
        <v>188582.57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45090.49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41912.589999999997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-1912.5899999999965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85090.489999999991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10493558.33</v>
      </c>
      <c r="D145" s="86">
        <f>(D115+D128+D144)</f>
        <v>188582.57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Nottingham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13026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13026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5527790</v>
      </c>
      <c r="D10" s="182">
        <f>ROUND((C10/$C$28)*100,1)</f>
        <v>52.6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1644016</v>
      </c>
      <c r="D11" s="182">
        <f>ROUND((C11/$C$28)*100,1)</f>
        <v>15.6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42164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476621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489801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506108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341892</v>
      </c>
      <c r="D18" s="182">
        <f t="shared" si="0"/>
        <v>3.3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573343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806734</v>
      </c>
      <c r="D21" s="182">
        <f t="shared" si="0"/>
        <v>7.7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96939.59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10505408.59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10505408.59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7380606</v>
      </c>
      <c r="D35" s="182">
        <f t="shared" ref="D35:D40" si="1">ROUND((C35/$C$41)*100,1)</f>
        <v>70.599999999999994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188085.74000000022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2696812</v>
      </c>
      <c r="D37" s="182">
        <f t="shared" si="1"/>
        <v>25.8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58198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123273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10446974.74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Nottingham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2015-09-17T18:57:15Z</cp:lastPrinted>
  <dcterms:created xsi:type="dcterms:W3CDTF">1997-12-04T19:04:30Z</dcterms:created>
  <dcterms:modified xsi:type="dcterms:W3CDTF">2015-11-18T18:04:19Z</dcterms:modified>
</cp:coreProperties>
</file>