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0" yWindow="0" windowWidth="23040" windowHeight="9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G456" i="1"/>
  <c r="J468" i="1"/>
  <c r="F472" i="1"/>
  <c r="F665" i="1" l="1"/>
  <c r="H604" i="1" l="1"/>
  <c r="I591" i="1" l="1"/>
  <c r="H591" i="1"/>
  <c r="H233" i="1"/>
  <c r="H314" i="1"/>
  <c r="H472" i="1"/>
  <c r="J47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D50" i="2" s="1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C57" i="2" s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3" i="2"/>
  <c r="E113" i="2"/>
  <c r="E114" i="2"/>
  <c r="D115" i="2"/>
  <c r="F115" i="2"/>
  <c r="G115" i="2"/>
  <c r="E120" i="2"/>
  <c r="C121" i="2"/>
  <c r="E121" i="2"/>
  <c r="E122" i="2"/>
  <c r="E123" i="2"/>
  <c r="E124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G461" i="1"/>
  <c r="H640" i="1" s="1"/>
  <c r="H461" i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H474" i="1"/>
  <c r="H476" i="1" s="1"/>
  <c r="H624" i="1" s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H571" i="1" s="1"/>
  <c r="I565" i="1"/>
  <c r="I571" i="1" s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1" i="1"/>
  <c r="H641" i="1"/>
  <c r="G643" i="1"/>
  <c r="H643" i="1"/>
  <c r="G644" i="1"/>
  <c r="J644" i="1" s="1"/>
  <c r="H644" i="1"/>
  <c r="H647" i="1"/>
  <c r="G649" i="1"/>
  <c r="G651" i="1"/>
  <c r="G652" i="1"/>
  <c r="H652" i="1"/>
  <c r="G653" i="1"/>
  <c r="H653" i="1"/>
  <c r="G654" i="1"/>
  <c r="H654" i="1"/>
  <c r="H655" i="1"/>
  <c r="G164" i="2"/>
  <c r="L351" i="1"/>
  <c r="C70" i="2"/>
  <c r="D18" i="13"/>
  <c r="C18" i="13" s="1"/>
  <c r="D17" i="13"/>
  <c r="C17" i="13" s="1"/>
  <c r="F78" i="2"/>
  <c r="F81" i="2" s="1"/>
  <c r="C78" i="2"/>
  <c r="F18" i="2"/>
  <c r="E103" i="2"/>
  <c r="E62" i="2"/>
  <c r="E63" i="2" s="1"/>
  <c r="D19" i="13"/>
  <c r="C19" i="13" s="1"/>
  <c r="E78" i="2"/>
  <c r="E81" i="2" s="1"/>
  <c r="J641" i="1"/>
  <c r="J571" i="1"/>
  <c r="H169" i="1"/>
  <c r="J643" i="1"/>
  <c r="F169" i="1"/>
  <c r="F571" i="1"/>
  <c r="G22" i="2"/>
  <c r="L401" i="1"/>
  <c r="C139" i="2" s="1"/>
  <c r="F22" i="13"/>
  <c r="H25" i="13"/>
  <c r="C25" i="13" s="1"/>
  <c r="J651" i="1"/>
  <c r="F552" i="1"/>
  <c r="E16" i="13"/>
  <c r="C16" i="13" s="1"/>
  <c r="G36" i="2"/>
  <c r="C22" i="13"/>
  <c r="J655" i="1" l="1"/>
  <c r="J640" i="1"/>
  <c r="G645" i="1"/>
  <c r="J645" i="1" s="1"/>
  <c r="E125" i="2"/>
  <c r="H338" i="1"/>
  <c r="H352" i="1" s="1"/>
  <c r="C17" i="10"/>
  <c r="E31" i="2"/>
  <c r="K605" i="1"/>
  <c r="G648" i="1" s="1"/>
  <c r="G338" i="1"/>
  <c r="G352" i="1" s="1"/>
  <c r="E112" i="2"/>
  <c r="L614" i="1"/>
  <c r="K598" i="1"/>
  <c r="G647" i="1" s="1"/>
  <c r="J647" i="1" s="1"/>
  <c r="J649" i="1"/>
  <c r="J552" i="1"/>
  <c r="L539" i="1"/>
  <c r="K545" i="1"/>
  <c r="H545" i="1"/>
  <c r="G545" i="1"/>
  <c r="G552" i="1"/>
  <c r="K549" i="1"/>
  <c r="I545" i="1"/>
  <c r="L529" i="1"/>
  <c r="K551" i="1"/>
  <c r="J545" i="1"/>
  <c r="G161" i="2"/>
  <c r="J476" i="1"/>
  <c r="H626" i="1" s="1"/>
  <c r="L419" i="1"/>
  <c r="L393" i="1"/>
  <c r="C138" i="2" s="1"/>
  <c r="F461" i="1"/>
  <c r="H639" i="1" s="1"/>
  <c r="J639" i="1" s="1"/>
  <c r="J338" i="1"/>
  <c r="J352" i="1" s="1"/>
  <c r="L328" i="1"/>
  <c r="E119" i="2"/>
  <c r="E110" i="2"/>
  <c r="E109" i="2"/>
  <c r="E118" i="2"/>
  <c r="F338" i="1"/>
  <c r="F352" i="1" s="1"/>
  <c r="C10" i="10"/>
  <c r="C12" i="10"/>
  <c r="L309" i="1"/>
  <c r="E111" i="2"/>
  <c r="A13" i="12"/>
  <c r="A31" i="12"/>
  <c r="L290" i="1"/>
  <c r="H112" i="1"/>
  <c r="J624" i="1"/>
  <c r="H52" i="1"/>
  <c r="H619" i="1" s="1"/>
  <c r="J619" i="1" s="1"/>
  <c r="D62" i="2"/>
  <c r="J623" i="1"/>
  <c r="C29" i="10"/>
  <c r="H33" i="13"/>
  <c r="C32" i="10"/>
  <c r="C124" i="2"/>
  <c r="D14" i="13"/>
  <c r="C14" i="13" s="1"/>
  <c r="C122" i="2"/>
  <c r="C18" i="10"/>
  <c r="D12" i="13"/>
  <c r="C12" i="13" s="1"/>
  <c r="C120" i="2"/>
  <c r="E8" i="13"/>
  <c r="C8" i="13" s="1"/>
  <c r="D7" i="13"/>
  <c r="C7" i="13" s="1"/>
  <c r="C118" i="2"/>
  <c r="L229" i="1"/>
  <c r="A40" i="12"/>
  <c r="C13" i="10"/>
  <c r="L247" i="1"/>
  <c r="I257" i="1"/>
  <c r="I271" i="1" s="1"/>
  <c r="C110" i="2"/>
  <c r="F257" i="1"/>
  <c r="F271" i="1" s="1"/>
  <c r="H257" i="1"/>
  <c r="H271" i="1" s="1"/>
  <c r="K257" i="1"/>
  <c r="K271" i="1" s="1"/>
  <c r="G257" i="1"/>
  <c r="G271" i="1" s="1"/>
  <c r="J257" i="1"/>
  <c r="J271" i="1" s="1"/>
  <c r="D5" i="13"/>
  <c r="C5" i="13" s="1"/>
  <c r="C91" i="2"/>
  <c r="F192" i="1"/>
  <c r="F112" i="1"/>
  <c r="J622" i="1"/>
  <c r="C18" i="2"/>
  <c r="G661" i="1"/>
  <c r="D127" i="2"/>
  <c r="D128" i="2" s="1"/>
  <c r="D145" i="2" s="1"/>
  <c r="F661" i="1"/>
  <c r="I661" i="1" s="1"/>
  <c r="G192" i="1"/>
  <c r="D91" i="2"/>
  <c r="D31" i="2"/>
  <c r="D51" i="2" s="1"/>
  <c r="D18" i="2"/>
  <c r="J617" i="1"/>
  <c r="K550" i="1"/>
  <c r="D29" i="13"/>
  <c r="C29" i="13" s="1"/>
  <c r="C81" i="2"/>
  <c r="L534" i="1"/>
  <c r="K500" i="1"/>
  <c r="I460" i="1"/>
  <c r="I452" i="1"/>
  <c r="I446" i="1"/>
  <c r="G642" i="1" s="1"/>
  <c r="C123" i="2"/>
  <c r="C119" i="2"/>
  <c r="C112" i="2"/>
  <c r="C115" i="2" s="1"/>
  <c r="F85" i="2"/>
  <c r="F91" i="2" s="1"/>
  <c r="L211" i="1"/>
  <c r="C20" i="10"/>
  <c r="C16" i="10"/>
  <c r="C11" i="10"/>
  <c r="L362" i="1"/>
  <c r="C27" i="10" s="1"/>
  <c r="E13" i="13"/>
  <c r="C13" i="13" s="1"/>
  <c r="C26" i="10"/>
  <c r="G650" i="1"/>
  <c r="K503" i="1"/>
  <c r="L382" i="1"/>
  <c r="G636" i="1" s="1"/>
  <c r="J636" i="1" s="1"/>
  <c r="K338" i="1"/>
  <c r="K352" i="1" s="1"/>
  <c r="F130" i="2"/>
  <c r="F144" i="2" s="1"/>
  <c r="F145" i="2" s="1"/>
  <c r="G81" i="2"/>
  <c r="C62" i="2"/>
  <c r="C63" i="2" s="1"/>
  <c r="D56" i="2"/>
  <c r="D63" i="2" s="1"/>
  <c r="G662" i="1"/>
  <c r="I662" i="1" s="1"/>
  <c r="C19" i="10"/>
  <c r="C15" i="10"/>
  <c r="G112" i="1"/>
  <c r="D6" i="13"/>
  <c r="C6" i="13" s="1"/>
  <c r="D15" i="13"/>
  <c r="C15" i="13" s="1"/>
  <c r="L544" i="1"/>
  <c r="L524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E104" i="2"/>
  <c r="I663" i="1"/>
  <c r="G635" i="1"/>
  <c r="J635" i="1" s="1"/>
  <c r="F660" i="1" l="1"/>
  <c r="E51" i="2"/>
  <c r="L338" i="1"/>
  <c r="L352" i="1" s="1"/>
  <c r="G633" i="1" s="1"/>
  <c r="J633" i="1" s="1"/>
  <c r="H660" i="1"/>
  <c r="H664" i="1" s="1"/>
  <c r="H672" i="1" s="1"/>
  <c r="C6" i="10" s="1"/>
  <c r="E115" i="2"/>
  <c r="K552" i="1"/>
  <c r="C141" i="2"/>
  <c r="C144" i="2" s="1"/>
  <c r="I461" i="1"/>
  <c r="H642" i="1" s="1"/>
  <c r="J642" i="1" s="1"/>
  <c r="E128" i="2"/>
  <c r="D31" i="13"/>
  <c r="C31" i="13" s="1"/>
  <c r="G660" i="1"/>
  <c r="G664" i="1" s="1"/>
  <c r="G672" i="1" s="1"/>
  <c r="C5" i="10" s="1"/>
  <c r="C36" i="10"/>
  <c r="C128" i="2"/>
  <c r="H648" i="1"/>
  <c r="J648" i="1" s="1"/>
  <c r="L257" i="1"/>
  <c r="L271" i="1" s="1"/>
  <c r="G632" i="1" s="1"/>
  <c r="J632" i="1" s="1"/>
  <c r="H667" i="1"/>
  <c r="C104" i="2"/>
  <c r="F193" i="1"/>
  <c r="G627" i="1" s="1"/>
  <c r="J627" i="1" s="1"/>
  <c r="F664" i="1"/>
  <c r="L408" i="1"/>
  <c r="L545" i="1"/>
  <c r="E33" i="13"/>
  <c r="D35" i="13" s="1"/>
  <c r="D104" i="2"/>
  <c r="C28" i="10"/>
  <c r="D24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D33" i="13"/>
  <c r="D36" i="13" s="1"/>
  <c r="C145" i="2"/>
  <c r="G667" i="1"/>
  <c r="I660" i="1"/>
  <c r="I664" i="1" s="1"/>
  <c r="I672" i="1" s="1"/>
  <c r="C7" i="10" s="1"/>
  <c r="D16" i="10"/>
  <c r="D11" i="10"/>
  <c r="D20" i="10"/>
  <c r="D13" i="10"/>
  <c r="C30" i="10"/>
  <c r="D19" i="10"/>
  <c r="D26" i="10"/>
  <c r="D25" i="10"/>
  <c r="D22" i="10"/>
  <c r="D10" i="10"/>
  <c r="D15" i="10"/>
  <c r="D21" i="10"/>
  <c r="D23" i="10"/>
  <c r="D27" i="10"/>
  <c r="D18" i="10"/>
  <c r="D17" i="10"/>
  <c r="D12" i="10"/>
  <c r="G637" i="1"/>
  <c r="J637" i="1" s="1"/>
  <c r="H646" i="1"/>
  <c r="J646" i="1" s="1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<sst xmlns="http://schemas.openxmlformats.org/spreadsheetml/2006/main" count="3958" uniqueCount="916">
  <si>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</si>
  <si>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</si>
  <si>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</si>
  <si>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</si>
  <si>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</si>
  <si>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</si>
  <si>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</si>
  <si>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</si>
  <si>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</si>
  <si>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</si>
  <si>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</si>
  <si>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</si>
  <si>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</si>
  <si>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</si>
  <si>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</si>
  <si>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</si>
  <si>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</si>
  <si>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</si>
  <si>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</si>
  <si>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</si>
  <si>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</si>
  <si>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</si>
  <si>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</si>
  <si>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</si>
  <si>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</si>
  <si>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</si>
  <si>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</si>
  <si>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</si>
  <si>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</si>
  <si>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</si>
  <si>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</si>
  <si>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</si>
  <si>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</si>
  <si>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</si>
  <si>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</si>
  <si>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</si>
  <si>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</si>
  <si>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</si>
  <si>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</si>
  <si>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</si>
  <si>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</si>
  <si>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</si>
  <si>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</si>
  <si>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</si>
  <si>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</si>
  <si>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</si>
  <si>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</si>
  <si>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</si>
  <si>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</si>
  <si>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</si>
  <si>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</si>
  <si>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</si>
  <si>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</si>
  <si>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</si>
  <si>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</si>
  <si>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</si>
  <si>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</si>
  <si>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</si>
  <si>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</si>
  <si>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</si>
  <si>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</si>
  <si>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</si>
  <si>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</si>
  <si>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</si>
  <si>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</si>
  <si>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</si>
  <si>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</si>
  <si>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</si>
  <si>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</si>
  <si>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</si>
  <si>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</si>
  <si>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</si>
  <si>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</si>
  <si>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</si>
  <si>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</si>
  <si>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</si>
  <si>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</si>
  <si>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</si>
  <si>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</si>
  <si>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</si>
  <si>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</si>
  <si>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</si>
  <si>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</si>
  <si>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</si>
  <si>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</si>
  <si>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</si>
  <si>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</si>
  <si>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</si>
  <si>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</si>
  <si>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</si>
  <si>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</si>
  <si>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</si>
  <si>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</si>
  <si>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</si>
  <si>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</si>
  <si>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</si>
  <si>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</si>
  <si>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</si>
  <si>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</si>
  <si>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</si>
  <si>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</si>
  <si>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</si>
  <si>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</si>
  <si>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</si>
  <si>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</si>
  <si>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</si>
  <si>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</si>
  <si>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</si>
  <si>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</si>
  <si>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</si>
  <si>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</si>
  <si>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</si>
  <si>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</si>
  <si>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</si>
  <si>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</si>
  <si>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</si>
  <si>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</si>
  <si>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</si>
  <si>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</si>
  <si>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</si>
  <si>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</si>
  <si>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</si>
  <si>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</si>
  <si>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</si>
  <si>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</si>
  <si>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</si>
  <si>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</si>
  <si>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</si>
  <si>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</si>
  <si>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</si>
  <si>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</si>
  <si>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</si>
  <si>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</si>
  <si>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</si>
  <si>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</si>
  <si>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</si>
  <si>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</si>
  <si>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</si>
  <si>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</si>
  <si>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</si>
  <si>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</si>
  <si>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</si>
  <si>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</si>
  <si>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</si>
  <si>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</si>
  <si>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</si>
  <si>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</si>
  <si>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</si>
  <si>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</si>
  <si>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</si>
  <si>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</si>
  <si>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</si>
  <si>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</si>
  <si>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</si>
  <si>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</si>
  <si>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</si>
  <si>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</si>
  <si>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</si>
  <si>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</si>
  <si>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</si>
  <si>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</si>
  <si>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</si>
  <si>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</si>
  <si>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</si>
  <si>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</si>
  <si>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</si>
  <si>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</si>
  <si>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</si>
  <si>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</si>
  <si>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</si>
  <si>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</si>
  <si>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</si>
  <si>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</si>
  <si>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</si>
  <si>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</si>
  <si>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</si>
  <si>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</si>
  <si>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</si>
  <si>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</si>
  <si>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</si>
  <si>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</si>
  <si>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</si>
  <si>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</si>
  <si>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</si>
  <si>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</si>
  <si>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</si>
  <si>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</si>
  <si>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</si>
  <si>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</si>
  <si>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</si>
  <si>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</si>
  <si>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</si>
  <si>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</si>
  <si>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</si>
  <si>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</si>
  <si>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</si>
  <si>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</si>
  <si>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</si>
  <si>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</si>
  <si>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</si>
  <si>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</si>
  <si>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</si>
  <si>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</si>
  <si>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</si>
  <si>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</si>
  <si>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</si>
  <si>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</si>
  <si>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</si>
  <si>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</si>
  <si>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</si>
  <si>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</si>
  <si>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</si>
  <si>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</si>
  <si>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</si>
  <si>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</si>
  <si>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</si>
  <si>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</si>
  <si>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</si>
  <si>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</si>
  <si>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</si>
  <si>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</si>
  <si>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</si>
  <si>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</si>
  <si>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</si>
  <si>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</si>
  <si>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</si>
  <si>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</si>
  <si>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</si>
  <si>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</si>
  <si>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</si>
  <si>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</si>
  <si>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</si>
  <si>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</si>
  <si>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</si>
  <si>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</si>
  <si>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</si>
  <si>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</si>
  <si>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</si>
  <si>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</si>
  <si>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</si>
  <si>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</si>
  <si>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</si>
  <si>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</si>
  <si>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</si>
  <si>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</si>
  <si>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</si>
  <si>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</si>
  <si>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</si>
  <si>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</si>
  <si>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</si>
  <si>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</si>
  <si>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</si>
  <si>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</si>
  <si>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</si>
  <si>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</si>
  <si>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</si>
  <si>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</si>
  <si>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</si>
  <si>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</si>
  <si>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</si>
  <si>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</si>
  <si>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</si>
  <si>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</si>
  <si>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</si>
  <si>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</si>
  <si>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</si>
  <si>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</si>
  <si>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</si>
  <si>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</si>
  <si>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</si>
  <si>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</si>
  <si>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</si>
  <si>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</si>
  <si>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</si>
  <si>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</si>
  <si>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</si>
  <si>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</si>
  <si>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</si>
  <si>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</si>
  <si>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</si>
  <si>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</si>
  <si>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</si>
  <si>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</si>
  <si>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</si>
  <si>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</si>
  <si>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</si>
  <si>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</si>
  <si>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</si>
  <si>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</si>
  <si>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</si>
  <si>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</si>
  <si>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</si>
  <si>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</si>
  <si>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</si>
  <si>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</si>
  <si>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</si>
  <si>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</si>
  <si>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</si>
  <si>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</si>
  <si>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</si>
  <si>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</si>
  <si>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</si>
  <si>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</si>
  <si>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</si>
  <si>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</si>
  <si>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</si>
  <si>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</si>
  <si>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</si>
  <si>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</si>
  <si>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</si>
  <si>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</si>
  <si>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</si>
  <si>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</si>
  <si>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</si>
  <si>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</si>
  <si>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</si>
  <si>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</si>
  <si>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</si>
  <si>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</si>
  <si>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</si>
  <si>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</si>
  <si>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</si>
  <si>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</si>
  <si>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</si>
  <si>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</si>
  <si>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</si>
  <si>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</si>
  <si>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</si>
  <si>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</si>
  <si>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</si>
  <si>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</si>
  <si>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</si>
  <si>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</si>
  <si>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</si>
  <si>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</si>
  <si>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</si>
  <si>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</si>
  <si>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</si>
  <si>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</si>
  <si>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</si>
  <si>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</si>
  <si>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</si>
  <si>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</si>
  <si>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</si>
  <si>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</si>
  <si>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</si>
  <si>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</si>
  <si>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</si>
  <si>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</si>
  <si>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</si>
  <si>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</si>
  <si>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</si>
  <si>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</si>
  <si>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</si>
  <si>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</si>
  <si>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</si>
  <si>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</si>
  <si>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</si>
  <si>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</si>
  <si>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</si>
  <si>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</si>
  <si>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</si>
  <si>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</si>
  <si>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</si>
  <si>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</si>
  <si>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</si>
  <si>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</si>
  <si>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</si>
  <si>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</si>
  <si>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</si>
  <si>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</si>
  <si>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</si>
  <si>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</si>
  <si>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</si>
  <si>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</si>
  <si>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</si>
  <si>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</si>
  <si>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</si>
  <si>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</si>
  <si>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</si>
  <si>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</si>
  <si>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</si>
  <si>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</si>
  <si>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</si>
  <si>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</si>
  <si>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</si>
  <si>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</si>
  <si>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</si>
  <si>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</si>
  <si>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</si>
  <si>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</si>
  <si>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</si>
  <si>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</si>
  <si>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</si>
  <si>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</si>
  <si>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</si>
  <si>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</si>
  <si>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</si>
  <si>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</si>
  <si>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</si>
  <si>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</si>
  <si>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</si>
  <si>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</si>
  <si>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</si>
  <si>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</si>
  <si>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</si>
  <si>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</si>
  <si>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</si>
  <si>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</si>
  <si>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</si>
  <si>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</si>
  <si>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</si>
  <si>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</si>
  <si>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</si>
  <si>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</si>
  <si>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</si>
  <si>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</si>
  <si>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</si>
  <si>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</si>
  <si>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</si>
  <si>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</si>
  <si>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</si>
  <si>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</si>
  <si>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</si>
  <si>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</si>
  <si>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</si>
  <si>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</si>
  <si>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</si>
  <si>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</si>
  <si>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</si>
  <si>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</si>
  <si>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</si>
  <si>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</si>
  <si>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</si>
  <si>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</si>
  <si>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</si>
  <si>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</si>
  <si>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</si>
  <si>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</si>
  <si>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</si>
  <si>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</si>
  <si>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</si>
  <si>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</si>
  <si>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</si>
  <si>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</si>
  <si>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</si>
  <si>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</si>
  <si>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</si>
  <si>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</si>
  <si>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</si>
  <si>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</si>
  <si>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</si>
  <si>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</si>
  <si>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</si>
  <si>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</si>
  <si>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</si>
  <si>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</si>
  <si>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</si>
  <si>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</si>
  <si>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</si>
  <si>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</si>
  <si>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</si>
  <si>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</si>
  <si>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</si>
  <si>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</si>
  <si>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</si>
  <si>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</si>
  <si>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</si>
  <si>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</si>
  <si>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</si>
  <si>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</si>
  <si>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</si>
  <si>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</si>
  <si>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</si>
  <si>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</si>
  <si>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</si>
  <si>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</si>
  <si>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</si>
  <si>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</si>
  <si>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</si>
  <si>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</si>
  <si>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</si>
  <si>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</si>
  <si>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</si>
  <si>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</si>
  <si>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</si>
  <si>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</si>
  <si>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</si>
  <si>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</si>
  <si>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</si>
  <si>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</si>
  <si>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</si>
  <si>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</si>
  <si>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</si>
  <si>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</si>
  <si>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</si>
  <si>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</si>
  <si>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</si>
  <si>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</si>
  <si>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</si>
  <si>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</si>
  <si>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</si>
  <si>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</si>
  <si>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</si>
  <si>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</si>
  <si>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</si>
  <si>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</si>
  <si>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</si>
  <si>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</si>
  <si>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</si>
  <si>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</si>
  <si>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</si>
  <si>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</si>
  <si>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</si>
  <si>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</si>
  <si>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</si>
  <si>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</si>
  <si>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</si>
  <si>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</si>
  <si>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</si>
  <si>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</si>
  <si>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</si>
  <si>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</si>
  <si>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</si>
  <si>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</si>
  <si>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</si>
  <si>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</si>
  <si>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</si>
  <si>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</si>
  <si>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</si>
  <si>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</si>
  <si>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</si>
  <si>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</si>
  <si>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</si>
  <si>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</si>
  <si>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</si>
  <si>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</si>
  <si>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</si>
  <si>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</si>
  <si>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</si>
  <si>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</si>
  <si>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</si>
  <si>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</si>
  <si>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</si>
  <si>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</si>
  <si>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</si>
  <si>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</si>
  <si>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</si>
  <si>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</si>
  <si>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</si>
  <si>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</si>
  <si>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</si>
  <si>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</si>
  <si>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</si>
  <si>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</si>
  <si>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</si>
  <si>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</si>
  <si>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</si>
  <si>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</si>
  <si>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</si>
  <si>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</si>
  <si>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</si>
  <si>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</si>
  <si>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</si>
  <si>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</si>
  <si>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</si>
  <si>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</si>
  <si>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</si>
  <si>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</si>
  <si>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</si>
  <si>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</si>
  <si>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</si>
  <si>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</si>
  <si>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</si>
  <si>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</si>
  <si>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</si>
  <si>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</si>
  <si>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</si>
  <si>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</si>
  <si>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</si>
  <si>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</si>
  <si>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</si>
  <si>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</si>
  <si>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</si>
  <si>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</si>
  <si>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</si>
  <si>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</si>
  <si>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</si>
  <si>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</si>
  <si>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</si>
  <si>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</si>
  <si>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</si>
  <si>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</si>
  <si>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</si>
  <si>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</si>
  <si>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</si>
  <si>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</si>
  <si>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</si>
  <si>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</si>
  <si>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</si>
  <si>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</si>
  <si>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</si>
  <si>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</si>
  <si>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</si>
  <si>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</si>
  <si>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</si>
  <si>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</si>
  <si>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</si>
  <si>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</si>
  <si>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</si>
  <si>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</si>
  <si>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</si>
  <si>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</si>
  <si>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</si>
  <si>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</si>
  <si>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</si>
  <si>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</si>
  <si>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</si>
  <si>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</si>
  <si>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</si>
  <si>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</si>
  <si>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</si>
  <si>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</si>
  <si>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</si>
  <si>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</si>
  <si>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</si>
  <si>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</si>
  <si>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</si>
  <si>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</si>
  <si>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</si>
  <si>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</si>
  <si>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</si>
  <si>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</si>
  <si>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</si>
  <si>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</si>
  <si>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</si>
  <si>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</si>
  <si>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</si>
  <si>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</si>
  <si>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</si>
  <si>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</si>
  <si>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</si>
  <si>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</si>
  <si>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</si>
  <si>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</si>
  <si>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</si>
  <si>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</si>
  <si>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</si>
  <si>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</si>
  <si>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</si>
  <si>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</si>
  <si>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</si>
  <si>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</si>
  <si>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</si>
  <si>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</si>
  <si>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</si>
  <si>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</si>
  <si>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</si>
  <si>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</si>
  <si>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</si>
  <si>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</si>
  <si>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</si>
  <si>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</si>
  <si>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</si>
  <si>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</si>
  <si>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</si>
  <si>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</si>
  <si>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</si>
  <si>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</si>
  <si>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</si>
  <si>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</si>
  <si>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</si>
  <si>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</si>
  <si>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</si>
  <si>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</si>
  <si>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</si>
  <si>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</si>
  <si>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</si>
  <si>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</si>
  <si>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</si>
  <si>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</si>
  <si>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</si>
  <si>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</si>
  <si>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</si>
  <si>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</si>
  <si>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</si>
  <si>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</si>
  <si>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</si>
  <si>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</si>
  <si>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</si>
  <si>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</si>
  <si>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</si>
  <si>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</si>
  <si>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</si>
  <si>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</si>
  <si>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</si>
  <si>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</si>
  <si>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</si>
  <si>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</si>
  <si>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</si>
  <si>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</si>
  <si>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</si>
  <si>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</si>
  <si>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</si>
  <si>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</si>
  <si>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</si>
  <si>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</si>
  <si>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</si>
  <si>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</si>
  <si>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</si>
  <si>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</si>
  <si>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</si>
  <si>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</si>
  <si>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</si>
  <si>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</si>
  <si>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</si>
  <si>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</si>
  <si>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</si>
  <si>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</si>
  <si>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</si>
  <si>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</si>
  <si>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</si>
  <si>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</si>
  <si>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</si>
  <si>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</si>
  <si>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</si>
  <si>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</si>
  <si>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</si>
  <si>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</si>
  <si>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</si>
  <si>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</si>
  <si>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</si>
  <si>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</si>
  <si>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</si>
  <si>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</si>
  <si>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</si>
  <si>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</si>
  <si>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</si>
  <si>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</si>
  <si>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</si>
  <si>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</si>
  <si>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</si>
  <si>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</si>
  <si>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</si>
  <si>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</si>
  <si>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</si>
  <si>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</si>
  <si>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</si>
  <si>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</si>
  <si>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</si>
  <si>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</si>
  <si>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</si>
  <si>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</si>
  <si>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</si>
  <si>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</si>
  <si>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</si>
  <si>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</si>
  <si>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</si>
  <si>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</si>
  <si>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</si>
  <si>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</si>
  <si>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</si>
  <si>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</si>
  <si>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</si>
  <si>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</si>
  <si>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</si>
  <si>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</si>
  <si>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</si>
  <si>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</si>
  <si>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</si>
  <si>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</si>
  <si>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</si>
  <si>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</si>
  <si>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</si>
  <si>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</si>
  <si>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</si>
  <si>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</si>
  <si>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</si>
  <si>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</si>
  <si>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</si>
  <si>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</si>
  <si>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</si>
  <si>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</si>
  <si>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</si>
  <si>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</si>
  <si>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</si>
  <si>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</si>
  <si>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</si>
  <si>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</si>
  <si>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</si>
  <si>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</si>
  <si>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</si>
  <si>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</si>
  <si>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</si>
  <si>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</si>
  <si>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</si>
  <si>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</si>
  <si>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</si>
  <si>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</si>
  <si>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</si>
  <si>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</si>
  <si>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</si>
  <si>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</si>
  <si>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</si>
  <si>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</si>
  <si>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</si>
  <si>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</si>
  <si>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</si>
  <si>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</si>
  <si>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</si>
  <si>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</si>
  <si>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</si>
  <si>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</si>
  <si>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</si>
  <si>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</si>
  <si>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</si>
  <si>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</si>
  <si>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</si>
  <si>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</si>
  <si>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</si>
  <si>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</si>
  <si>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</si>
  <si>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</si>
  <si>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</si>
  <si>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</si>
  <si>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</si>
  <si>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</si>
  <si>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</si>
  <si>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</si>
  <si>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</si>
  <si>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</si>
  <si>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</si>
  <si>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</si>
  <si>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</si>
  <si>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</si>
  <si>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</si>
  <si>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</si>
  <si>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</si>
  <si>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</si>
  <si>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</si>
  <si>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</si>
  <si>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</si>
  <si>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</si>
  <si>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</si>
  <si>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</si>
  <si>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</si>
  <si>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</si>
  <si>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</si>
  <si>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</si>
  <si>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</si>
  <si>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</si>
  <si>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</si>
  <si>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</si>
  <si>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</si>
  <si>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</si>
  <si>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</si>
  <si>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</si>
  <si>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</si>
  <si>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</si>
  <si>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</si>
  <si>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</si>
  <si>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</si>
  <si>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</si>
  <si>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</si>
  <si>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</si>
  <si>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</si>
  <si>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</si>
  <si>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</si>
  <si>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</si>
  <si>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</si>
  <si>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</si>
  <si>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</si>
  <si>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</si>
  <si>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</si>
  <si>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</si>
  <si>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</si>
  <si>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</si>
  <si>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</si>
  <si>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</si>
  <si>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</si>
  <si>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</si>
  <si>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</si>
  <si>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</si>
  <si>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</si>
  <si>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</si>
  <si>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</si>
  <si>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</si>
  <si>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</si>
  <si>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</si>
  <si>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</si>
  <si>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</si>
  <si>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</si>
  <si>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</si>
  <si>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</si>
  <si>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</si>
  <si>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</si>
  <si>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</si>
  <si>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</si>
  <si>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</si>
  <si>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</si>
  <si>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</si>
  <si>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</si>
  <si>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</si>
  <si>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</si>
  <si>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</si>
  <si>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</si>
  <si>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</si>
  <si>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</si>
  <si>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</si>
  <si>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</si>
  <si>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</si>
  <si>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11/01</t>
  </si>
  <si>
    <t>08/03</t>
  </si>
  <si>
    <t>11/21</t>
  </si>
  <si>
    <t>02/23</t>
  </si>
  <si>
    <t>Oyster River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</si>
</sst>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37" fillId="0" borderId="0" xfId="0" applyNumberFormat="1" applyFont="1" applyFill="1" applyBorder="1" applyAlignment="1" applyProtection="1">
      <protection locked="0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423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2257652.56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951647.43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155106.81</v>
      </c>
      <c r="G12" s="18">
        <v>17709.05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226504.16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15436.23</v>
      </c>
      <c r="G14" s="18">
        <v>12678.51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49363.41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2477559.0100000002</v>
      </c>
      <c r="G19" s="41">
        <f>SUM(G9:G18)</f>
        <v>30387.559999999998</v>
      </c>
      <c r="H19" s="41">
        <f>SUM(H9:H18)</f>
        <v>226504.16</v>
      </c>
      <c r="I19" s="41">
        <f>SUM(I9:I18)</f>
        <v>0</v>
      </c>
      <c r="J19" s="41">
        <f>SUM(J9:J18)</f>
        <v>951647.43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172815.86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132047.21</v>
      </c>
      <c r="G24" s="18">
        <v>-119.11</v>
      </c>
      <c r="H24" s="18">
        <v>18539.73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685297.26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30486.28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212.28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817556.75</v>
      </c>
      <c r="G32" s="41">
        <f>SUM(G22:G31)</f>
        <v>30367.17</v>
      </c>
      <c r="H32" s="41">
        <f>SUM(H22:H31)</f>
        <v>191355.59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49363.41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20.39</v>
      </c>
      <c r="H43" s="18">
        <v>35148.57</v>
      </c>
      <c r="I43" s="18"/>
      <c r="J43" s="13">
        <f>SUM(I456)</f>
        <v>951647.43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500000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0.25</v>
      </c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65700.75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1594301.26-500000-49363.41-200000</f>
        <v>844937.85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1660002.26</v>
      </c>
      <c r="G51" s="41">
        <f>SUM(G35:G50)</f>
        <v>20.39</v>
      </c>
      <c r="H51" s="41">
        <f>SUM(H35:H50)</f>
        <v>35148.57</v>
      </c>
      <c r="I51" s="41">
        <f>SUM(I35:I50)</f>
        <v>0</v>
      </c>
      <c r="J51" s="41">
        <f>SUM(J35:J50)</f>
        <v>951647.43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2477559.0099999998</v>
      </c>
      <c r="G52" s="41">
        <f>G51+G32</f>
        <v>30387.559999999998</v>
      </c>
      <c r="H52" s="41">
        <f>H51+H32</f>
        <v>226504.16</v>
      </c>
      <c r="I52" s="41">
        <f>I51+I32</f>
        <v>0</v>
      </c>
      <c r="J52" s="41">
        <f>J51+J32</f>
        <v>951647.43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27423749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27423749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5789.89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1325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1368946.26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1376061.15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25121.33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25121.33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4110.33</v>
      </c>
      <c r="G96" s="18"/>
      <c r="H96" s="18"/>
      <c r="I96" s="18"/>
      <c r="J96" s="18">
        <v>1141.42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528104.52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12285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27224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>
        <v>2450</v>
      </c>
      <c r="H102" s="18"/>
      <c r="I102" s="18"/>
      <c r="J102" s="18">
        <v>10094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>
        <v>12435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11340.83</v>
      </c>
      <c r="G110" s="18">
        <v>1701</v>
      </c>
      <c r="H110" s="18">
        <v>21961.77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42675.16</v>
      </c>
      <c r="G111" s="41">
        <f>SUM(G96:G110)</f>
        <v>532255.52</v>
      </c>
      <c r="H111" s="41">
        <f>SUM(H96:H110)</f>
        <v>46681.770000000004</v>
      </c>
      <c r="I111" s="41">
        <f>SUM(I96:I110)</f>
        <v>0</v>
      </c>
      <c r="J111" s="41">
        <f>SUM(J96:J110)</f>
        <v>11235.42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28867606.639999997</v>
      </c>
      <c r="G112" s="41">
        <f>G60+G111</f>
        <v>532255.52</v>
      </c>
      <c r="H112" s="41">
        <f>H60+H79+H94+H111</f>
        <v>46681.770000000004</v>
      </c>
      <c r="I112" s="41">
        <f>I60+I111</f>
        <v>0</v>
      </c>
      <c r="J112" s="41">
        <f>J60+J111</f>
        <v>11235.42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4679721.5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3792012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2408.9299999999998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8474142.4299999997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523742.08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132670.65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4610.3999999999996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5366.63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94314.37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661023.13</v>
      </c>
      <c r="G136" s="41">
        <f>SUM(G123:G135)</f>
        <v>5366.63</v>
      </c>
      <c r="H136" s="41">
        <f>SUM(H123:H135)</f>
        <v>94314.37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9135165.5600000005</v>
      </c>
      <c r="G140" s="41">
        <f>G121+SUM(G136:G137)</f>
        <v>5366.63</v>
      </c>
      <c r="H140" s="41">
        <f>H121+SUM(H136:H139)</f>
        <v>94314.37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124503.06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129045.4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93322.89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436568.84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318848.09999999998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318848.09999999998</v>
      </c>
      <c r="G162" s="41">
        <f>SUM(G150:G161)</f>
        <v>93322.89</v>
      </c>
      <c r="H162" s="41">
        <f>SUM(H150:H161)</f>
        <v>690117.3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318848.09999999998</v>
      </c>
      <c r="G169" s="41">
        <f>G147+G162+SUM(G163:G168)</f>
        <v>93322.89</v>
      </c>
      <c r="H169" s="41">
        <f>H147+H162+SUM(H163:H168)</f>
        <v>690117.3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19518.759999999998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19518.759999999998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56794.58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56794.58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56794.58</v>
      </c>
      <c r="G192" s="41">
        <f>G183+SUM(G188:G191)</f>
        <v>19518.759999999998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38378414.879999995</v>
      </c>
      <c r="G193" s="47">
        <f>G112+G140+G169+G192</f>
        <v>650463.80000000005</v>
      </c>
      <c r="H193" s="47">
        <f>H112+H140+H169+H192</f>
        <v>831113.44000000006</v>
      </c>
      <c r="I193" s="47">
        <f>I112+I140+I169+I192</f>
        <v>0</v>
      </c>
      <c r="J193" s="47">
        <f>J112+J140+J192</f>
        <v>11235.42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3502809.39</v>
      </c>
      <c r="G197" s="18">
        <v>1261141.1232221164</v>
      </c>
      <c r="H197" s="18">
        <v>23957.25</v>
      </c>
      <c r="I197" s="18">
        <v>109057.11</v>
      </c>
      <c r="J197" s="18">
        <v>9047.3100000000013</v>
      </c>
      <c r="K197" s="18">
        <v>0</v>
      </c>
      <c r="L197" s="19">
        <f>SUM(F197:K197)</f>
        <v>4906012.1832221169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1154749.96</v>
      </c>
      <c r="G198" s="18">
        <v>424282.77</v>
      </c>
      <c r="H198" s="18">
        <v>473051.53</v>
      </c>
      <c r="I198" s="18">
        <v>9173.84</v>
      </c>
      <c r="J198" s="18">
        <v>1359.28</v>
      </c>
      <c r="K198" s="18">
        <v>4422.03</v>
      </c>
      <c r="L198" s="19">
        <f>SUM(F198:K198)</f>
        <v>2067039.4100000001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49342.340000000004</v>
      </c>
      <c r="G200" s="18">
        <v>6414.44</v>
      </c>
      <c r="H200" s="18">
        <v>28277.14</v>
      </c>
      <c r="I200" s="18">
        <v>592.62</v>
      </c>
      <c r="J200" s="18">
        <v>0</v>
      </c>
      <c r="K200" s="18">
        <v>0</v>
      </c>
      <c r="L200" s="19">
        <f>SUM(F200:K200)</f>
        <v>84626.540000000008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808595.51</v>
      </c>
      <c r="G202" s="18">
        <v>342777.27</v>
      </c>
      <c r="H202" s="18">
        <v>248649.13999999998</v>
      </c>
      <c r="I202" s="18">
        <v>39762.829999999994</v>
      </c>
      <c r="J202" s="18">
        <v>57372.409999999996</v>
      </c>
      <c r="K202" s="18">
        <v>2075.9900000000002</v>
      </c>
      <c r="L202" s="19">
        <f t="shared" ref="L202:L208" si="0">SUM(F202:K202)</f>
        <v>1499233.15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268984.09999999998</v>
      </c>
      <c r="G203" s="18">
        <v>86607.319999999992</v>
      </c>
      <c r="H203" s="18">
        <v>26541.710000000003</v>
      </c>
      <c r="I203" s="18">
        <v>50063.51999999999</v>
      </c>
      <c r="J203" s="18">
        <v>11538.9</v>
      </c>
      <c r="K203" s="18">
        <v>264.75</v>
      </c>
      <c r="L203" s="19">
        <f t="shared" si="0"/>
        <v>444000.30000000005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208495.69</v>
      </c>
      <c r="G204" s="18">
        <v>77292.490000000005</v>
      </c>
      <c r="H204" s="18">
        <v>55264.93</v>
      </c>
      <c r="I204" s="18">
        <v>8449.8799999999992</v>
      </c>
      <c r="J204" s="18"/>
      <c r="K204" s="18">
        <v>7058.33</v>
      </c>
      <c r="L204" s="19">
        <f t="shared" si="0"/>
        <v>356561.32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353714.87</v>
      </c>
      <c r="G205" s="18">
        <v>153570.79</v>
      </c>
      <c r="H205" s="18">
        <v>72563.38</v>
      </c>
      <c r="I205" s="18">
        <v>8618.369999999999</v>
      </c>
      <c r="J205" s="18"/>
      <c r="K205" s="18">
        <v>1754</v>
      </c>
      <c r="L205" s="19">
        <f t="shared" si="0"/>
        <v>590221.41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-43632.08</v>
      </c>
      <c r="G206" s="18">
        <v>37272.17</v>
      </c>
      <c r="H206" s="18">
        <v>65463.99</v>
      </c>
      <c r="I206" s="18">
        <v>1936.05</v>
      </c>
      <c r="J206" s="18"/>
      <c r="K206" s="18">
        <v>566.21</v>
      </c>
      <c r="L206" s="19">
        <f t="shared" si="0"/>
        <v>61606.34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265362.62</v>
      </c>
      <c r="G207" s="18">
        <v>107107.18</v>
      </c>
      <c r="H207" s="18">
        <v>601398.62</v>
      </c>
      <c r="I207" s="18">
        <v>134030.94999999998</v>
      </c>
      <c r="J207" s="18">
        <v>11723.98</v>
      </c>
      <c r="K207" s="18"/>
      <c r="L207" s="19">
        <f t="shared" si="0"/>
        <v>1119623.3499999999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357199.82</v>
      </c>
      <c r="G208" s="18">
        <v>244523.31</v>
      </c>
      <c r="H208" s="18">
        <v>124802.07</v>
      </c>
      <c r="I208" s="18">
        <v>86440.040000000008</v>
      </c>
      <c r="J208" s="18">
        <v>129755.07</v>
      </c>
      <c r="K208" s="18">
        <v>717</v>
      </c>
      <c r="L208" s="19">
        <f t="shared" si="0"/>
        <v>943437.31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6925622.2199999997</v>
      </c>
      <c r="G211" s="41">
        <f t="shared" si="1"/>
        <v>2740988.8632221166</v>
      </c>
      <c r="H211" s="41">
        <f t="shared" si="1"/>
        <v>1719969.76</v>
      </c>
      <c r="I211" s="41">
        <f t="shared" si="1"/>
        <v>448125.20999999996</v>
      </c>
      <c r="J211" s="41">
        <f t="shared" si="1"/>
        <v>220796.95</v>
      </c>
      <c r="K211" s="41">
        <f t="shared" si="1"/>
        <v>16858.310000000001</v>
      </c>
      <c r="L211" s="41">
        <f t="shared" si="1"/>
        <v>12072361.313222118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2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274">
        <v>3823159.81</v>
      </c>
      <c r="G215" s="274">
        <v>1554474.0467254529</v>
      </c>
      <c r="H215" s="274">
        <v>31624.129999999997</v>
      </c>
      <c r="I215" s="274">
        <v>72819.3</v>
      </c>
      <c r="J215" s="274">
        <v>23061.21</v>
      </c>
      <c r="K215" s="274">
        <v>95</v>
      </c>
      <c r="L215" s="19">
        <f>SUM(F215:K215)</f>
        <v>5505233.4967254521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1227040.9499999997</v>
      </c>
      <c r="G216" s="18">
        <v>439223.27</v>
      </c>
      <c r="H216" s="18">
        <v>284526.32</v>
      </c>
      <c r="I216" s="18">
        <v>11354.119999999999</v>
      </c>
      <c r="J216" s="18">
        <v>750</v>
      </c>
      <c r="K216" s="18">
        <v>4542.05</v>
      </c>
      <c r="L216" s="19">
        <f>SUM(F216:K216)</f>
        <v>1967436.71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103068.28</v>
      </c>
      <c r="G218" s="18">
        <v>17693.62</v>
      </c>
      <c r="H218" s="18">
        <v>14790.779999999999</v>
      </c>
      <c r="I218" s="18">
        <v>10189.870000000001</v>
      </c>
      <c r="J218" s="18">
        <v>0</v>
      </c>
      <c r="K218" s="18">
        <v>50</v>
      </c>
      <c r="L218" s="19">
        <f>SUM(F218:K218)</f>
        <v>145792.54999999999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705638.58</v>
      </c>
      <c r="G220" s="18">
        <v>202598.37</v>
      </c>
      <c r="H220" s="18">
        <v>240911.29</v>
      </c>
      <c r="I220" s="18">
        <v>37016.079999999994</v>
      </c>
      <c r="J220" s="18">
        <v>54485.62</v>
      </c>
      <c r="K220" s="18">
        <v>2013.7</v>
      </c>
      <c r="L220" s="19">
        <f t="shared" ref="L220:L226" si="2">SUM(F220:K220)</f>
        <v>1242663.6400000001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125190.11</v>
      </c>
      <c r="G221" s="18">
        <v>55357.549999999996</v>
      </c>
      <c r="H221" s="18">
        <v>27723.86</v>
      </c>
      <c r="I221" s="18">
        <v>28388.53</v>
      </c>
      <c r="J221" s="18">
        <v>14294.67</v>
      </c>
      <c r="K221" s="18">
        <v>256.81</v>
      </c>
      <c r="L221" s="19">
        <f t="shared" si="2"/>
        <v>251211.53000000003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217405.1</v>
      </c>
      <c r="G222" s="18">
        <v>81562.25</v>
      </c>
      <c r="H222" s="18">
        <v>53606.98</v>
      </c>
      <c r="I222" s="18">
        <v>8196.3799999999992</v>
      </c>
      <c r="J222" s="18"/>
      <c r="K222" s="18">
        <v>6846.58</v>
      </c>
      <c r="L222" s="19">
        <f t="shared" si="2"/>
        <v>367617.29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261141.9</v>
      </c>
      <c r="G223" s="18">
        <v>132534.53</v>
      </c>
      <c r="H223" s="18">
        <v>32933.47</v>
      </c>
      <c r="I223" s="18">
        <v>2871.26</v>
      </c>
      <c r="J223" s="18"/>
      <c r="K223" s="18">
        <v>1054.9000000000001</v>
      </c>
      <c r="L223" s="19">
        <f t="shared" si="2"/>
        <v>430536.06000000006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-42323.12</v>
      </c>
      <c r="G224" s="18">
        <v>36154.01</v>
      </c>
      <c r="H224" s="18">
        <v>63500.07</v>
      </c>
      <c r="I224" s="18">
        <v>1877.97</v>
      </c>
      <c r="J224" s="18"/>
      <c r="K224" s="18">
        <v>549.22</v>
      </c>
      <c r="L224" s="19">
        <f t="shared" si="2"/>
        <v>59758.15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262053.81000000003</v>
      </c>
      <c r="G225" s="18">
        <v>145870.91</v>
      </c>
      <c r="H225" s="18">
        <v>431542.36</v>
      </c>
      <c r="I225" s="18">
        <v>150837.14000000001</v>
      </c>
      <c r="J225" s="18">
        <v>14339.5</v>
      </c>
      <c r="K225" s="18"/>
      <c r="L225" s="19">
        <f t="shared" si="2"/>
        <v>1004643.7200000001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210981.38</v>
      </c>
      <c r="G226" s="18">
        <v>133033.46</v>
      </c>
      <c r="H226" s="18">
        <v>69517.240000000005</v>
      </c>
      <c r="I226" s="18">
        <v>47706.91</v>
      </c>
      <c r="J226" s="18">
        <v>64877.53</v>
      </c>
      <c r="K226" s="18">
        <v>358.5</v>
      </c>
      <c r="L226" s="19">
        <f t="shared" si="2"/>
        <v>526475.02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6893356.7999999998</v>
      </c>
      <c r="G229" s="41">
        <f>SUM(G215:G228)</f>
        <v>2798502.0167254526</v>
      </c>
      <c r="H229" s="41">
        <f>SUM(H215:H228)</f>
        <v>1250676.4999999998</v>
      </c>
      <c r="I229" s="41">
        <f>SUM(I215:I228)</f>
        <v>371257.56000000006</v>
      </c>
      <c r="J229" s="41">
        <f>SUM(J215:J228)</f>
        <v>171808.53</v>
      </c>
      <c r="K229" s="41">
        <f t="shared" si="3"/>
        <v>15766.759999999998</v>
      </c>
      <c r="L229" s="41">
        <f t="shared" si="3"/>
        <v>11501368.166725451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3673854.1800000006</v>
      </c>
      <c r="G233" s="18">
        <v>1586012.2400524311</v>
      </c>
      <c r="H233" s="18">
        <f>47140.07-0.02</f>
        <v>47140.05</v>
      </c>
      <c r="I233" s="18">
        <v>119979.68999999999</v>
      </c>
      <c r="J233" s="18">
        <v>7490.38</v>
      </c>
      <c r="K233" s="18">
        <v>0</v>
      </c>
      <c r="L233" s="19">
        <f>SUM(F233:K233)</f>
        <v>5434476.5400524316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1215361.4099999997</v>
      </c>
      <c r="G234" s="18">
        <v>490680.17</v>
      </c>
      <c r="H234" s="18">
        <v>271174.05</v>
      </c>
      <c r="I234" s="18">
        <v>10857.28</v>
      </c>
      <c r="J234" s="18">
        <v>919.58</v>
      </c>
      <c r="K234" s="18">
        <v>4289.37</v>
      </c>
      <c r="L234" s="19">
        <f>SUM(F234:K234)</f>
        <v>1993281.8599999999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20693.39</v>
      </c>
      <c r="I235" s="18"/>
      <c r="J235" s="18"/>
      <c r="K235" s="18"/>
      <c r="L235" s="19">
        <f>SUM(F235:K235)</f>
        <v>20693.39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279154.03000000003</v>
      </c>
      <c r="G236" s="18">
        <v>66763.45</v>
      </c>
      <c r="H236" s="18">
        <v>88872.3</v>
      </c>
      <c r="I236" s="18">
        <v>23696.25</v>
      </c>
      <c r="J236" s="18">
        <v>10583</v>
      </c>
      <c r="K236" s="18">
        <v>41486.51</v>
      </c>
      <c r="L236" s="19">
        <f>SUM(F236:K236)</f>
        <v>510555.54000000004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719684.45</v>
      </c>
      <c r="G238" s="18">
        <v>292712.38</v>
      </c>
      <c r="H238" s="18">
        <v>289128.64</v>
      </c>
      <c r="I238" s="18">
        <v>39476.300000000003</v>
      </c>
      <c r="J238" s="18">
        <v>56649.78</v>
      </c>
      <c r="K238" s="18">
        <v>2132.33</v>
      </c>
      <c r="L238" s="19">
        <f t="shared" ref="L238:L244" si="4">SUM(F238:K238)</f>
        <v>1399783.8800000001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142849.51999999999</v>
      </c>
      <c r="G239" s="18">
        <v>47760.26</v>
      </c>
      <c r="H239" s="18">
        <v>38423.009999999995</v>
      </c>
      <c r="I239" s="18">
        <v>40124.740000000005</v>
      </c>
      <c r="J239" s="18">
        <v>10506.289999999999</v>
      </c>
      <c r="K239" s="18">
        <v>271.94</v>
      </c>
      <c r="L239" s="19">
        <f t="shared" si="4"/>
        <v>279935.75999999995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265911.81</v>
      </c>
      <c r="G240" s="18">
        <v>101931.23000000001</v>
      </c>
      <c r="H240" s="18">
        <v>56764.97</v>
      </c>
      <c r="I240" s="18">
        <v>8679.23</v>
      </c>
      <c r="J240" s="18"/>
      <c r="K240" s="18">
        <v>7249.91</v>
      </c>
      <c r="L240" s="19">
        <f t="shared" si="4"/>
        <v>440537.14999999997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349432.11</v>
      </c>
      <c r="G241" s="18">
        <v>160173.43</v>
      </c>
      <c r="H241" s="18">
        <v>50091.289999999994</v>
      </c>
      <c r="I241" s="18">
        <v>3532.37</v>
      </c>
      <c r="J241" s="18"/>
      <c r="K241" s="18">
        <v>6284.9</v>
      </c>
      <c r="L241" s="19">
        <f t="shared" si="4"/>
        <v>569514.1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-44816.38</v>
      </c>
      <c r="G242" s="18">
        <v>38283.839999999997</v>
      </c>
      <c r="H242" s="18">
        <v>67240.87</v>
      </c>
      <c r="I242" s="18">
        <v>1988.6</v>
      </c>
      <c r="J242" s="18"/>
      <c r="K242" s="18">
        <v>581.57000000000005</v>
      </c>
      <c r="L242" s="19">
        <f t="shared" si="4"/>
        <v>63278.499999999993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425516.17</v>
      </c>
      <c r="G243" s="18">
        <v>210332.34999999998</v>
      </c>
      <c r="H243" s="18">
        <v>606773.85</v>
      </c>
      <c r="I243" s="18">
        <v>381511.83</v>
      </c>
      <c r="J243" s="18">
        <v>26535.77</v>
      </c>
      <c r="K243" s="18"/>
      <c r="L243" s="19">
        <f t="shared" si="4"/>
        <v>1650669.9700000002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233137.07</v>
      </c>
      <c r="G244" s="18">
        <v>135670.29</v>
      </c>
      <c r="H244" s="18">
        <v>63661.84</v>
      </c>
      <c r="I244" s="18">
        <v>48252.430000000008</v>
      </c>
      <c r="J244" s="18">
        <v>64877.53</v>
      </c>
      <c r="K244" s="18">
        <v>358.5</v>
      </c>
      <c r="L244" s="19">
        <f t="shared" si="4"/>
        <v>545957.65999999992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7260084.3700000001</v>
      </c>
      <c r="G247" s="41">
        <f t="shared" si="5"/>
        <v>3130319.6400524308</v>
      </c>
      <c r="H247" s="41">
        <f t="shared" si="5"/>
        <v>1599964.26</v>
      </c>
      <c r="I247" s="41">
        <f t="shared" si="5"/>
        <v>678098.72000000009</v>
      </c>
      <c r="J247" s="41">
        <f t="shared" si="5"/>
        <v>177562.33</v>
      </c>
      <c r="K247" s="41">
        <f t="shared" si="5"/>
        <v>62655.030000000013</v>
      </c>
      <c r="L247" s="41">
        <f t="shared" si="5"/>
        <v>12908684.350052433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472775.44</v>
      </c>
      <c r="I255" s="18"/>
      <c r="J255" s="18"/>
      <c r="K255" s="18"/>
      <c r="L255" s="19">
        <f t="shared" si="6"/>
        <v>472775.44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472775.44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472775.44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21079063.390000001</v>
      </c>
      <c r="G257" s="41">
        <f t="shared" si="8"/>
        <v>8669810.5199999996</v>
      </c>
      <c r="H257" s="41">
        <f t="shared" si="8"/>
        <v>5043385.96</v>
      </c>
      <c r="I257" s="41">
        <f t="shared" si="8"/>
        <v>1497481.4900000002</v>
      </c>
      <c r="J257" s="41">
        <f t="shared" si="8"/>
        <v>570167.80999999994</v>
      </c>
      <c r="K257" s="41">
        <f t="shared" si="8"/>
        <v>95280.1</v>
      </c>
      <c r="L257" s="41">
        <f t="shared" si="8"/>
        <v>36955189.269999996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1135000</v>
      </c>
      <c r="L260" s="19">
        <f>SUM(F260:K260)</f>
        <v>1135000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413037.5</v>
      </c>
      <c r="L261" s="19">
        <f>SUM(F261:K261)</f>
        <v>413037.5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19518.759999999998</v>
      </c>
      <c r="L263" s="19">
        <f>SUM(F263:K263)</f>
        <v>19518.759999999998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1567556.26</v>
      </c>
      <c r="L270" s="41">
        <f t="shared" si="9"/>
        <v>1567556.26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21079063.390000001</v>
      </c>
      <c r="G271" s="42">
        <f t="shared" si="11"/>
        <v>8669810.5199999996</v>
      </c>
      <c r="H271" s="42">
        <f t="shared" si="11"/>
        <v>5043385.96</v>
      </c>
      <c r="I271" s="42">
        <f t="shared" si="11"/>
        <v>1497481.4900000002</v>
      </c>
      <c r="J271" s="42">
        <f t="shared" si="11"/>
        <v>570167.80999999994</v>
      </c>
      <c r="K271" s="42">
        <f t="shared" si="11"/>
        <v>1662836.36</v>
      </c>
      <c r="L271" s="42">
        <f t="shared" si="11"/>
        <v>38522745.529999994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85673.21</v>
      </c>
      <c r="G276" s="18">
        <v>32113.5</v>
      </c>
      <c r="H276" s="18">
        <v>26282.09</v>
      </c>
      <c r="I276" s="18">
        <v>2181.9499999999998</v>
      </c>
      <c r="J276" s="18">
        <v>499.63</v>
      </c>
      <c r="K276" s="18"/>
      <c r="L276" s="19">
        <f>SUM(F276:K276)</f>
        <v>146750.38000000003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776.15</v>
      </c>
      <c r="G277" s="18">
        <v>2924.62</v>
      </c>
      <c r="H277" s="18">
        <v>17159.189999999999</v>
      </c>
      <c r="I277" s="18">
        <v>2423.11</v>
      </c>
      <c r="J277" s="18">
        <v>1241.18</v>
      </c>
      <c r="K277" s="18"/>
      <c r="L277" s="19">
        <f>SUM(F277:K277)</f>
        <v>24524.25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3339.88</v>
      </c>
      <c r="G279" s="18">
        <v>629.19000000000005</v>
      </c>
      <c r="H279" s="18">
        <v>0</v>
      </c>
      <c r="I279" s="18">
        <v>563.21</v>
      </c>
      <c r="J279" s="18">
        <v>0</v>
      </c>
      <c r="K279" s="18">
        <v>0</v>
      </c>
      <c r="L279" s="19">
        <f>SUM(F279:K279)</f>
        <v>4532.2800000000007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600</v>
      </c>
      <c r="G282" s="18">
        <v>37.69</v>
      </c>
      <c r="H282" s="18">
        <v>14922.060000000001</v>
      </c>
      <c r="I282" s="18">
        <v>1483.42</v>
      </c>
      <c r="J282" s="18">
        <v>0</v>
      </c>
      <c r="K282" s="18"/>
      <c r="L282" s="19">
        <f t="shared" si="12"/>
        <v>17043.170000000002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>
        <v>0</v>
      </c>
      <c r="H288" s="18">
        <v>1326.26</v>
      </c>
      <c r="I288" s="18">
        <v>1737.44</v>
      </c>
      <c r="J288" s="18">
        <v>34365.93</v>
      </c>
      <c r="K288" s="18"/>
      <c r="L288" s="19">
        <f>SUM(F288:K288)</f>
        <v>37429.629999999997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90389.24</v>
      </c>
      <c r="G290" s="42">
        <f t="shared" si="13"/>
        <v>35705.000000000007</v>
      </c>
      <c r="H290" s="42">
        <f t="shared" si="13"/>
        <v>59689.599999999999</v>
      </c>
      <c r="I290" s="42">
        <f t="shared" si="13"/>
        <v>8389.1299999999992</v>
      </c>
      <c r="J290" s="42">
        <f t="shared" si="13"/>
        <v>36106.74</v>
      </c>
      <c r="K290" s="42">
        <f t="shared" si="13"/>
        <v>0</v>
      </c>
      <c r="L290" s="41">
        <f t="shared" si="13"/>
        <v>230279.71000000005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7684.06</v>
      </c>
      <c r="G295" s="18">
        <v>762.07</v>
      </c>
      <c r="H295" s="18">
        <v>25493.62</v>
      </c>
      <c r="I295" s="18">
        <v>2116.4899999999998</v>
      </c>
      <c r="J295" s="18">
        <v>484.64</v>
      </c>
      <c r="K295" s="18"/>
      <c r="L295" s="19">
        <f>SUM(F295:K295)</f>
        <v>36540.879999999997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148401.87</v>
      </c>
      <c r="G296" s="18">
        <v>70883.95</v>
      </c>
      <c r="H296" s="18">
        <v>1894.6</v>
      </c>
      <c r="I296" s="18">
        <v>2350.42</v>
      </c>
      <c r="J296" s="18">
        <v>1203.95</v>
      </c>
      <c r="K296" s="18"/>
      <c r="L296" s="19">
        <f>SUM(F296:K296)</f>
        <v>224734.79000000004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3239.68</v>
      </c>
      <c r="G298" s="18">
        <v>610.30999999999995</v>
      </c>
      <c r="H298" s="18">
        <v>0</v>
      </c>
      <c r="I298" s="18">
        <v>546.32000000000005</v>
      </c>
      <c r="J298" s="18">
        <v>0</v>
      </c>
      <c r="K298" s="18"/>
      <c r="L298" s="19">
        <f>SUM(F298:K298)</f>
        <v>4396.3099999999995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13649.900000000001</v>
      </c>
      <c r="I301" s="18">
        <v>1438.92</v>
      </c>
      <c r="J301" s="18">
        <v>0</v>
      </c>
      <c r="K301" s="18"/>
      <c r="L301" s="19">
        <f t="shared" si="14"/>
        <v>15088.820000000002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>
        <v>0</v>
      </c>
      <c r="H307" s="18">
        <v>1286.48</v>
      </c>
      <c r="I307" s="18">
        <v>1685.31</v>
      </c>
      <c r="J307" s="18">
        <v>33334.949999999997</v>
      </c>
      <c r="K307" s="18"/>
      <c r="L307" s="19">
        <f>SUM(F307:K307)</f>
        <v>36306.74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159325.60999999999</v>
      </c>
      <c r="G309" s="42">
        <f t="shared" si="15"/>
        <v>72256.33</v>
      </c>
      <c r="H309" s="42">
        <f t="shared" si="15"/>
        <v>42324.6</v>
      </c>
      <c r="I309" s="42">
        <f t="shared" si="15"/>
        <v>8137.4599999999991</v>
      </c>
      <c r="J309" s="42">
        <f t="shared" si="15"/>
        <v>35023.539999999994</v>
      </c>
      <c r="K309" s="42">
        <f t="shared" si="15"/>
        <v>0</v>
      </c>
      <c r="L309" s="41">
        <f t="shared" si="15"/>
        <v>317067.54000000004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8136.73</v>
      </c>
      <c r="G314" s="18">
        <v>806.97</v>
      </c>
      <c r="H314" s="18">
        <f>26995.46+0.03</f>
        <v>26995.489999999998</v>
      </c>
      <c r="I314" s="18">
        <v>2241.17</v>
      </c>
      <c r="J314" s="18">
        <v>513.19000000000005</v>
      </c>
      <c r="K314" s="18"/>
      <c r="L314" s="19">
        <f>SUM(F314:K314)</f>
        <v>38693.549999999996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116384.52</v>
      </c>
      <c r="G315" s="18">
        <v>65155.30000000001</v>
      </c>
      <c r="H315" s="18">
        <v>2006.21</v>
      </c>
      <c r="I315" s="18">
        <v>2488.88</v>
      </c>
      <c r="J315" s="18">
        <v>1274.8699999999999</v>
      </c>
      <c r="K315" s="18"/>
      <c r="L315" s="19">
        <f>SUM(F315:K315)</f>
        <v>187309.78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3430.53</v>
      </c>
      <c r="G317" s="18">
        <v>646.27</v>
      </c>
      <c r="H317" s="18">
        <v>0</v>
      </c>
      <c r="I317" s="18">
        <v>578.5</v>
      </c>
      <c r="J317" s="18">
        <v>0</v>
      </c>
      <c r="K317" s="18"/>
      <c r="L317" s="19">
        <f>SUM(F317:K317)</f>
        <v>4655.3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14454.02</v>
      </c>
      <c r="I320" s="18">
        <v>1523.68</v>
      </c>
      <c r="J320" s="18">
        <v>0</v>
      </c>
      <c r="K320" s="18"/>
      <c r="L320" s="19">
        <f t="shared" si="16"/>
        <v>15977.7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1362.26</v>
      </c>
      <c r="I326" s="18">
        <v>1784.6</v>
      </c>
      <c r="J326" s="18">
        <v>35298.720000000001</v>
      </c>
      <c r="K326" s="18"/>
      <c r="L326" s="19">
        <f>SUM(F326:K326)</f>
        <v>38445.58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127951.78</v>
      </c>
      <c r="G328" s="42">
        <f t="shared" si="17"/>
        <v>66608.540000000008</v>
      </c>
      <c r="H328" s="42">
        <f t="shared" si="17"/>
        <v>44817.98</v>
      </c>
      <c r="I328" s="42">
        <f t="shared" si="17"/>
        <v>8616.83</v>
      </c>
      <c r="J328" s="42">
        <f t="shared" si="17"/>
        <v>37086.78</v>
      </c>
      <c r="K328" s="42">
        <f t="shared" si="17"/>
        <v>0</v>
      </c>
      <c r="L328" s="41">
        <f t="shared" si="17"/>
        <v>285081.90999999997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377666.63</v>
      </c>
      <c r="G338" s="41">
        <f t="shared" si="20"/>
        <v>174569.87000000002</v>
      </c>
      <c r="H338" s="41">
        <f t="shared" si="20"/>
        <v>146832.18</v>
      </c>
      <c r="I338" s="41">
        <f t="shared" si="20"/>
        <v>25143.42</v>
      </c>
      <c r="J338" s="41">
        <f t="shared" si="20"/>
        <v>108217.06</v>
      </c>
      <c r="K338" s="41">
        <f t="shared" si="20"/>
        <v>0</v>
      </c>
      <c r="L338" s="41">
        <f t="shared" si="20"/>
        <v>832429.16000000015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377666.63</v>
      </c>
      <c r="G352" s="41">
        <f>G338</f>
        <v>174569.87000000002</v>
      </c>
      <c r="H352" s="41">
        <f>H338</f>
        <v>146832.18</v>
      </c>
      <c r="I352" s="41">
        <f>I338</f>
        <v>25143.42</v>
      </c>
      <c r="J352" s="41">
        <f>J338</f>
        <v>108217.06</v>
      </c>
      <c r="K352" s="47">
        <f>K338+K351</f>
        <v>0</v>
      </c>
      <c r="L352" s="41">
        <f>L338+L351</f>
        <v>832429.16000000015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100303.27</v>
      </c>
      <c r="G358" s="18">
        <v>20190.830000000002</v>
      </c>
      <c r="H358" s="18">
        <v>6986.94</v>
      </c>
      <c r="I358" s="18">
        <v>72456.659999999989</v>
      </c>
      <c r="J358" s="18">
        <v>2786.98</v>
      </c>
      <c r="K358" s="18">
        <v>148.57</v>
      </c>
      <c r="L358" s="13">
        <f>SUM(F358:K358)</f>
        <v>202873.25000000003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97294.18</v>
      </c>
      <c r="G359" s="18">
        <v>19585.099999999999</v>
      </c>
      <c r="H359" s="18">
        <v>4421.3200000000006</v>
      </c>
      <c r="I359" s="18">
        <v>90244.79</v>
      </c>
      <c r="J359" s="18">
        <v>2703.37</v>
      </c>
      <c r="K359" s="18">
        <v>221.41</v>
      </c>
      <c r="L359" s="19">
        <f>SUM(F359:K359)</f>
        <v>214470.17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103025.79</v>
      </c>
      <c r="G360" s="18">
        <v>20738.86</v>
      </c>
      <c r="H360" s="18">
        <v>5219.7199999999993</v>
      </c>
      <c r="I360" s="18">
        <v>100885.09999999999</v>
      </c>
      <c r="J360" s="18">
        <v>2862.6400000000003</v>
      </c>
      <c r="K360" s="18">
        <v>388.27</v>
      </c>
      <c r="L360" s="19">
        <f>SUM(F360:K360)</f>
        <v>233120.37999999998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300623.24</v>
      </c>
      <c r="G362" s="47">
        <f t="shared" si="22"/>
        <v>60514.79</v>
      </c>
      <c r="H362" s="47">
        <f t="shared" si="22"/>
        <v>16627.98</v>
      </c>
      <c r="I362" s="47">
        <f t="shared" si="22"/>
        <v>263586.55</v>
      </c>
      <c r="J362" s="47">
        <f t="shared" si="22"/>
        <v>8352.9900000000016</v>
      </c>
      <c r="K362" s="47">
        <f t="shared" si="22"/>
        <v>758.25</v>
      </c>
      <c r="L362" s="47">
        <f t="shared" si="22"/>
        <v>650463.80000000005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66065.86</v>
      </c>
      <c r="G367" s="18">
        <v>84143.799999999988</v>
      </c>
      <c r="H367" s="18">
        <v>93743.05</v>
      </c>
      <c r="I367" s="56">
        <f>SUM(F367:H367)</f>
        <v>243952.70999999996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6390.8</v>
      </c>
      <c r="G368" s="63">
        <v>6100.99</v>
      </c>
      <c r="H368" s="63">
        <v>7142.05</v>
      </c>
      <c r="I368" s="56">
        <f>SUM(F368:H368)</f>
        <v>19633.84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72456.66</v>
      </c>
      <c r="G369" s="47">
        <f>SUM(G367:G368)</f>
        <v>90244.79</v>
      </c>
      <c r="H369" s="47">
        <f>SUM(H367:H368)</f>
        <v>100885.1</v>
      </c>
      <c r="I369" s="47">
        <f>SUM(I367:I368)</f>
        <v>263586.55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125.47</v>
      </c>
      <c r="I389" s="18"/>
      <c r="J389" s="24" t="s">
        <v>289</v>
      </c>
      <c r="K389" s="24" t="s">
        <v>289</v>
      </c>
      <c r="L389" s="56">
        <f t="shared" si="25"/>
        <v>125.47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268.10000000000002</v>
      </c>
      <c r="I391" s="18"/>
      <c r="J391" s="24" t="s">
        <v>289</v>
      </c>
      <c r="K391" s="24" t="s">
        <v>289</v>
      </c>
      <c r="L391" s="56">
        <f t="shared" si="25"/>
        <v>268.10000000000002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393.57000000000005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393.57000000000005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6.03</v>
      </c>
      <c r="I396" s="18"/>
      <c r="J396" s="24" t="s">
        <v>289</v>
      </c>
      <c r="K396" s="24" t="s">
        <v>289</v>
      </c>
      <c r="L396" s="56">
        <f t="shared" si="26"/>
        <v>6.03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522.59</v>
      </c>
      <c r="I397" s="18"/>
      <c r="J397" s="24" t="s">
        <v>289</v>
      </c>
      <c r="K397" s="24" t="s">
        <v>289</v>
      </c>
      <c r="L397" s="56">
        <f t="shared" si="26"/>
        <v>522.59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219.23</v>
      </c>
      <c r="I400" s="18">
        <v>10094</v>
      </c>
      <c r="J400" s="24" t="s">
        <v>289</v>
      </c>
      <c r="K400" s="24" t="s">
        <v>289</v>
      </c>
      <c r="L400" s="56">
        <f t="shared" si="26"/>
        <v>10313.23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747.85</v>
      </c>
      <c r="I401" s="47">
        <f>SUM(I395:I400)</f>
        <v>10094</v>
      </c>
      <c r="J401" s="45" t="s">
        <v>289</v>
      </c>
      <c r="K401" s="45" t="s">
        <v>289</v>
      </c>
      <c r="L401" s="47">
        <f>SUM(L395:L400)</f>
        <v>10841.85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1141.42</v>
      </c>
      <c r="I408" s="47">
        <f>I393+I401+I407</f>
        <v>10094</v>
      </c>
      <c r="J408" s="24" t="s">
        <v>289</v>
      </c>
      <c r="K408" s="24" t="s">
        <v>289</v>
      </c>
      <c r="L408" s="47">
        <f>L393+L401+L407</f>
        <v>11235.42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56794.58</v>
      </c>
      <c r="L415" s="56">
        <f t="shared" si="27"/>
        <v>56794.58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56794.58</v>
      </c>
      <c r="L419" s="47">
        <f t="shared" si="28"/>
        <v>56794.58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11650</v>
      </c>
      <c r="I426" s="18"/>
      <c r="J426" s="18"/>
      <c r="K426" s="18"/>
      <c r="L426" s="56">
        <f t="shared" si="29"/>
        <v>11650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11650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11650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11650</v>
      </c>
      <c r="I434" s="47">
        <f t="shared" si="32"/>
        <v>0</v>
      </c>
      <c r="J434" s="47">
        <f t="shared" si="32"/>
        <v>0</v>
      </c>
      <c r="K434" s="47">
        <f t="shared" si="32"/>
        <v>56794.58</v>
      </c>
      <c r="L434" s="47">
        <f t="shared" si="32"/>
        <v>68444.58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54361.52</v>
      </c>
      <c r="G440" s="18">
        <v>897285.91</v>
      </c>
      <c r="H440" s="18"/>
      <c r="I440" s="56">
        <f t="shared" si="33"/>
        <v>951647.43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54361.52</v>
      </c>
      <c r="G446" s="13">
        <f>SUM(G439:G445)</f>
        <v>897285.91</v>
      </c>
      <c r="H446" s="13">
        <f>SUM(H439:H445)</f>
        <v>0</v>
      </c>
      <c r="I446" s="13">
        <f>SUM(I439:I445)</f>
        <v>951647.43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54361.52</v>
      </c>
      <c r="G456" s="18">
        <f>897285.91</f>
        <v>897285.91</v>
      </c>
      <c r="H456" s="18"/>
      <c r="I456" s="56">
        <f t="shared" si="34"/>
        <v>951647.43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54361.52</v>
      </c>
      <c r="G460" s="83">
        <f>SUM(G454:G459)</f>
        <v>897285.91</v>
      </c>
      <c r="H460" s="83">
        <f>SUM(H454:H459)</f>
        <v>0</v>
      </c>
      <c r="I460" s="83">
        <f>SUM(I454:I459)</f>
        <v>951647.43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54361.52</v>
      </c>
      <c r="G461" s="42">
        <f>G452+G460</f>
        <v>897285.91</v>
      </c>
      <c r="H461" s="42">
        <f>H452+H460</f>
        <v>0</v>
      </c>
      <c r="I461" s="42">
        <f>I452+I460</f>
        <v>951647.43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1804332.91</v>
      </c>
      <c r="G465" s="18">
        <v>20.39</v>
      </c>
      <c r="H465" s="18">
        <v>36464.29</v>
      </c>
      <c r="I465" s="18"/>
      <c r="J465" s="18">
        <v>1008856.59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38378414.880000003</v>
      </c>
      <c r="G468" s="18">
        <v>650463.80000000005</v>
      </c>
      <c r="H468" s="18">
        <v>831113.44</v>
      </c>
      <c r="I468" s="18"/>
      <c r="J468" s="18">
        <f>11235.42</f>
        <v>11235.42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38378414.880000003</v>
      </c>
      <c r="G470" s="53">
        <f>SUM(G468:G469)</f>
        <v>650463.80000000005</v>
      </c>
      <c r="H470" s="53">
        <f>SUM(H468:H469)</f>
        <v>831113.44</v>
      </c>
      <c r="I470" s="53">
        <f>SUM(I468:I469)</f>
        <v>0</v>
      </c>
      <c r="J470" s="53">
        <f>SUM(J468:J469)</f>
        <v>11235.42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38522745.53</f>
        <v>38522745.530000001</v>
      </c>
      <c r="G472" s="18">
        <v>650463.80000000005</v>
      </c>
      <c r="H472" s="18">
        <f>832429.16</f>
        <v>832429.16</v>
      </c>
      <c r="I472" s="18"/>
      <c r="J472" s="18">
        <f>68444.58</f>
        <v>68444.58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38522745.530000001</v>
      </c>
      <c r="G474" s="53">
        <f>SUM(G472:G473)</f>
        <v>650463.80000000005</v>
      </c>
      <c r="H474" s="53">
        <f>SUM(H472:H473)</f>
        <v>832429.16</v>
      </c>
      <c r="I474" s="53">
        <f>SUM(I472:I473)</f>
        <v>0</v>
      </c>
      <c r="J474" s="53">
        <f>SUM(J472:J473)</f>
        <v>68444.58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1660002.2599999979</v>
      </c>
      <c r="G476" s="53">
        <f>(G465+G470)- G474</f>
        <v>20.39000000001397</v>
      </c>
      <c r="H476" s="53">
        <f>(H465+H470)- H474</f>
        <v>35148.569999999949</v>
      </c>
      <c r="I476" s="53">
        <f>(I465+I470)- I474</f>
        <v>0</v>
      </c>
      <c r="J476" s="53">
        <f>(J465+J470)- J474</f>
        <v>951647.43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>
        <v>20</v>
      </c>
      <c r="J490" s="154">
        <v>20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275" t="s">
        <v>911</v>
      </c>
      <c r="J491" s="275" t="s">
        <v>912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275" t="s">
        <v>913</v>
      </c>
      <c r="J492" s="275" t="s">
        <v>914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>
        <v>2300000</v>
      </c>
      <c r="J493" s="18">
        <v>20406711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>
        <v>4.22</v>
      </c>
      <c r="J494" s="18">
        <v>4.09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204">
        <v>920000</v>
      </c>
      <c r="J495" s="204">
        <v>9180000</v>
      </c>
      <c r="K495" s="53">
        <f>SUM(F495:J495)</f>
        <v>10100000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>
        <v>115000</v>
      </c>
      <c r="J497" s="18">
        <v>1020000</v>
      </c>
      <c r="K497" s="53">
        <f t="shared" si="35"/>
        <v>1135000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>
        <v>805000</v>
      </c>
      <c r="J498" s="204">
        <v>8160000</v>
      </c>
      <c r="K498" s="205">
        <f t="shared" si="35"/>
        <v>8965000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>
        <v>129547.5</v>
      </c>
      <c r="J499" s="18">
        <v>1461150</v>
      </c>
      <c r="K499" s="53">
        <f t="shared" si="35"/>
        <v>1590697.5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934547.5</v>
      </c>
      <c r="J500" s="42">
        <f>SUM(J498:J499)</f>
        <v>9621150</v>
      </c>
      <c r="K500" s="42">
        <f t="shared" si="35"/>
        <v>10555697.5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>
        <v>115000</v>
      </c>
      <c r="J501" s="204">
        <v>1020000</v>
      </c>
      <c r="K501" s="205">
        <f t="shared" si="35"/>
        <v>1135000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>
        <v>33896.25</v>
      </c>
      <c r="J502" s="18">
        <v>333540</v>
      </c>
      <c r="K502" s="53">
        <f t="shared" si="35"/>
        <v>367436.25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148896.25</v>
      </c>
      <c r="J503" s="42">
        <f>SUM(J501:J502)</f>
        <v>1353540</v>
      </c>
      <c r="K503" s="42">
        <f t="shared" si="35"/>
        <v>1502436.25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1107789.4625262155</v>
      </c>
      <c r="G521" s="18">
        <v>412650.57039084844</v>
      </c>
      <c r="H521" s="18">
        <v>512842.86690181127</v>
      </c>
      <c r="I521" s="18">
        <v>11327.374604385128</v>
      </c>
      <c r="J521" s="18">
        <v>2600.4620781696854</v>
      </c>
      <c r="K521" s="18">
        <v>4422.0281220209727</v>
      </c>
      <c r="L521" s="88">
        <f>SUM(F521:K521)</f>
        <v>2051632.7646234508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1415840.9079504288</v>
      </c>
      <c r="G522" s="18">
        <v>515983.68307912297</v>
      </c>
      <c r="H522" s="18">
        <v>260151.31949475687</v>
      </c>
      <c r="I522" s="18">
        <v>13866.419566253575</v>
      </c>
      <c r="J522" s="18">
        <v>1953.9466158245948</v>
      </c>
      <c r="K522" s="18">
        <v>4289.3672783603433</v>
      </c>
      <c r="L522" s="88">
        <f>SUM(F522:K522)</f>
        <v>2212085.6439847471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1353451.5395233554</v>
      </c>
      <c r="G523" s="18">
        <v>559666.89653002855</v>
      </c>
      <c r="H523" s="18">
        <v>280622.38360343181</v>
      </c>
      <c r="I523" s="18">
        <v>13831.435829361297</v>
      </c>
      <c r="J523" s="18">
        <v>2194.4513060057197</v>
      </c>
      <c r="K523" s="18">
        <v>4542.0545996186847</v>
      </c>
      <c r="L523" s="88">
        <f>SUM(F523:K523)</f>
        <v>2214308.7613918018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3877081.91</v>
      </c>
      <c r="G524" s="108">
        <f t="shared" ref="G524:L524" si="36">SUM(G521:G523)</f>
        <v>1488301.15</v>
      </c>
      <c r="H524" s="108">
        <f t="shared" si="36"/>
        <v>1053616.5699999998</v>
      </c>
      <c r="I524" s="108">
        <f t="shared" si="36"/>
        <v>39025.229999999996</v>
      </c>
      <c r="J524" s="108">
        <f t="shared" si="36"/>
        <v>6748.86</v>
      </c>
      <c r="K524" s="108">
        <f t="shared" si="36"/>
        <v>13253.45</v>
      </c>
      <c r="L524" s="89">
        <f t="shared" si="36"/>
        <v>6478027.1699999999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379362</v>
      </c>
      <c r="G526" s="18">
        <v>144288.08000000002</v>
      </c>
      <c r="H526" s="18">
        <v>177728.36929456625</v>
      </c>
      <c r="I526" s="18">
        <v>5455.42</v>
      </c>
      <c r="J526" s="18">
        <v>2265.1461582459488</v>
      </c>
      <c r="K526" s="18">
        <v>0</v>
      </c>
      <c r="L526" s="88">
        <f>SUM(F526:K526)</f>
        <v>709099.01545281231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224370</v>
      </c>
      <c r="G527" s="18">
        <v>70352.84</v>
      </c>
      <c r="H527" s="18">
        <v>172263.64151572928</v>
      </c>
      <c r="I527" s="18">
        <v>1869.03</v>
      </c>
      <c r="J527" s="18">
        <v>1292.4621734985701</v>
      </c>
      <c r="K527" s="18">
        <v>0</v>
      </c>
      <c r="L527" s="88">
        <f>SUM(F527:K527)</f>
        <v>470147.97368922783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169539.55</v>
      </c>
      <c r="G528" s="18">
        <v>89178.35</v>
      </c>
      <c r="H528" s="18">
        <v>193921.64918970451</v>
      </c>
      <c r="I528" s="18">
        <v>2484.8900000000003</v>
      </c>
      <c r="J528" s="18">
        <v>323.00166825548143</v>
      </c>
      <c r="K528" s="18">
        <v>0</v>
      </c>
      <c r="L528" s="88">
        <f>SUM(F528:K528)</f>
        <v>455447.44085795997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773271.55</v>
      </c>
      <c r="G529" s="89">
        <f t="shared" ref="G529:L529" si="37">SUM(G526:G528)</f>
        <v>303819.27</v>
      </c>
      <c r="H529" s="89">
        <f t="shared" si="37"/>
        <v>543913.66</v>
      </c>
      <c r="I529" s="89">
        <f t="shared" si="37"/>
        <v>9809.34</v>
      </c>
      <c r="J529" s="89">
        <f t="shared" si="37"/>
        <v>3880.6100000000006</v>
      </c>
      <c r="K529" s="89">
        <f t="shared" si="37"/>
        <v>0</v>
      </c>
      <c r="L529" s="89">
        <f t="shared" si="37"/>
        <v>1634694.4300000002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74815.104423260258</v>
      </c>
      <c r="G531" s="18">
        <v>37398.42003813156</v>
      </c>
      <c r="H531" s="18">
        <v>2115.906101048618</v>
      </c>
      <c r="I531" s="18">
        <v>384.27264061010487</v>
      </c>
      <c r="J531" s="18">
        <v>0</v>
      </c>
      <c r="K531" s="18">
        <v>755.71973307912299</v>
      </c>
      <c r="L531" s="88">
        <f>SUM(F531:K531)</f>
        <v>115469.42293612966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87734.93009056244</v>
      </c>
      <c r="G532" s="18">
        <v>42864.993836987611</v>
      </c>
      <c r="H532" s="18">
        <v>2061.4289180171595</v>
      </c>
      <c r="I532" s="18">
        <v>372.74446139180174</v>
      </c>
      <c r="J532" s="18">
        <v>0</v>
      </c>
      <c r="K532" s="18">
        <v>733.0481410867493</v>
      </c>
      <c r="L532" s="88">
        <f>SUM(F532:K532)</f>
        <v>133767.14544804575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128602.75548617731</v>
      </c>
      <c r="G533" s="18">
        <v>60954.316124880839</v>
      </c>
      <c r="H533" s="18">
        <v>2240.1949809342232</v>
      </c>
      <c r="I533" s="18">
        <v>394.70289799809342</v>
      </c>
      <c r="J533" s="18">
        <v>0</v>
      </c>
      <c r="K533" s="18">
        <v>776.23212583412771</v>
      </c>
      <c r="L533" s="88">
        <f>SUM(F533:K533)</f>
        <v>192968.2016158246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291152.79000000004</v>
      </c>
      <c r="G534" s="89">
        <f t="shared" ref="G534:L534" si="38">SUM(G531:G533)</f>
        <v>141217.73000000001</v>
      </c>
      <c r="H534" s="89">
        <f t="shared" si="38"/>
        <v>6417.5300000000007</v>
      </c>
      <c r="I534" s="89">
        <f t="shared" si="38"/>
        <v>1151.72</v>
      </c>
      <c r="J534" s="89">
        <f t="shared" si="38"/>
        <v>0</v>
      </c>
      <c r="K534" s="89">
        <f t="shared" si="38"/>
        <v>2265</v>
      </c>
      <c r="L534" s="89">
        <f t="shared" si="38"/>
        <v>442204.77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3205.4494756911345</v>
      </c>
      <c r="I536" s="18"/>
      <c r="J536" s="18"/>
      <c r="K536" s="18"/>
      <c r="L536" s="88">
        <f>SUM(F536:K536)</f>
        <v>3205.4494756911345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3109.2859914204005</v>
      </c>
      <c r="I537" s="18"/>
      <c r="J537" s="18"/>
      <c r="K537" s="18"/>
      <c r="L537" s="88">
        <f>SUM(F537:K537)</f>
        <v>3109.2859914204005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3292.4545328884656</v>
      </c>
      <c r="I538" s="18"/>
      <c r="J538" s="18"/>
      <c r="K538" s="18"/>
      <c r="L538" s="88">
        <f>SUM(F538:K538)</f>
        <v>3292.4545328884656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9607.19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9607.19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48427.418017159202</v>
      </c>
      <c r="G541" s="18">
        <v>21470.528122020973</v>
      </c>
      <c r="H541" s="18">
        <v>9568.3493803622496</v>
      </c>
      <c r="I541" s="18">
        <v>9546.5819828408003</v>
      </c>
      <c r="J541" s="18">
        <v>0</v>
      </c>
      <c r="K541" s="18">
        <v>0</v>
      </c>
      <c r="L541" s="88">
        <f>SUM(F541:K541)</f>
        <v>89012.877502383228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46974.595476644427</v>
      </c>
      <c r="G542" s="18">
        <v>20826.412278360345</v>
      </c>
      <c r="H542" s="18">
        <v>9281.2988989513833</v>
      </c>
      <c r="I542" s="18">
        <v>9260.1845233555778</v>
      </c>
      <c r="J542" s="18">
        <v>0</v>
      </c>
      <c r="K542" s="18">
        <v>0</v>
      </c>
      <c r="L542" s="88">
        <f>SUM(F542:K542)</f>
        <v>86342.491177311735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49741.876506196379</v>
      </c>
      <c r="G543" s="18">
        <v>22053.299599618684</v>
      </c>
      <c r="H543" s="18">
        <v>9828.0617206863681</v>
      </c>
      <c r="I543" s="18">
        <v>9805.7034938036231</v>
      </c>
      <c r="J543" s="18">
        <v>0</v>
      </c>
      <c r="K543" s="18">
        <v>0</v>
      </c>
      <c r="L543" s="88">
        <f>SUM(F543:K543)</f>
        <v>91428.94132030505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145143.89000000001</v>
      </c>
      <c r="G544" s="193">
        <f t="shared" ref="G544:L544" si="40">SUM(G541:G543)</f>
        <v>64350.240000000005</v>
      </c>
      <c r="H544" s="193">
        <f t="shared" si="40"/>
        <v>28677.71</v>
      </c>
      <c r="I544" s="193">
        <f t="shared" si="40"/>
        <v>28612.47</v>
      </c>
      <c r="J544" s="193">
        <f t="shared" si="40"/>
        <v>0</v>
      </c>
      <c r="K544" s="193">
        <f t="shared" si="40"/>
        <v>0</v>
      </c>
      <c r="L544" s="193">
        <f t="shared" si="40"/>
        <v>266784.31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5086650.1399999997</v>
      </c>
      <c r="G545" s="89">
        <f t="shared" ref="G545:L545" si="41">G524+G529+G534+G539+G544</f>
        <v>1997688.39</v>
      </c>
      <c r="H545" s="89">
        <f t="shared" si="41"/>
        <v>1642232.66</v>
      </c>
      <c r="I545" s="89">
        <f t="shared" si="41"/>
        <v>78598.759999999995</v>
      </c>
      <c r="J545" s="89">
        <f t="shared" si="41"/>
        <v>10629.470000000001</v>
      </c>
      <c r="K545" s="89">
        <f t="shared" si="41"/>
        <v>15518.45</v>
      </c>
      <c r="L545" s="89">
        <f t="shared" si="41"/>
        <v>8831317.8699999992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2051632.7646234508</v>
      </c>
      <c r="G549" s="87">
        <f>L526</f>
        <v>709099.01545281231</v>
      </c>
      <c r="H549" s="87">
        <f>L531</f>
        <v>115469.42293612966</v>
      </c>
      <c r="I549" s="87">
        <f>L536</f>
        <v>3205.4494756911345</v>
      </c>
      <c r="J549" s="87">
        <f>L541</f>
        <v>89012.877502383228</v>
      </c>
      <c r="K549" s="87">
        <f>SUM(F549:J549)</f>
        <v>2968419.5299904672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2212085.6439847471</v>
      </c>
      <c r="G550" s="87">
        <f>L527</f>
        <v>470147.97368922783</v>
      </c>
      <c r="H550" s="87">
        <f>L532</f>
        <v>133767.14544804575</v>
      </c>
      <c r="I550" s="87">
        <f>L537</f>
        <v>3109.2859914204005</v>
      </c>
      <c r="J550" s="87">
        <f>L542</f>
        <v>86342.491177311735</v>
      </c>
      <c r="K550" s="87">
        <f>SUM(F550:J550)</f>
        <v>2905452.5402907529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2214308.7613918018</v>
      </c>
      <c r="G551" s="87">
        <f>L528</f>
        <v>455447.44085795997</v>
      </c>
      <c r="H551" s="87">
        <f>L533</f>
        <v>192968.2016158246</v>
      </c>
      <c r="I551" s="87">
        <f>L538</f>
        <v>3292.4545328884656</v>
      </c>
      <c r="J551" s="87">
        <f>L543</f>
        <v>91428.94132030505</v>
      </c>
      <c r="K551" s="87">
        <f>SUM(F551:J551)</f>
        <v>2957445.7997187795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6478027.1699999999</v>
      </c>
      <c r="G552" s="89">
        <f t="shared" si="42"/>
        <v>1634694.4300000002</v>
      </c>
      <c r="H552" s="89">
        <f t="shared" si="42"/>
        <v>442204.77</v>
      </c>
      <c r="I552" s="89">
        <f t="shared" si="42"/>
        <v>9607.19</v>
      </c>
      <c r="J552" s="89">
        <f t="shared" si="42"/>
        <v>266784.31</v>
      </c>
      <c r="K552" s="89">
        <f t="shared" si="42"/>
        <v>8831317.870000001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77992.7</v>
      </c>
      <c r="G562" s="18">
        <v>18680.090000000004</v>
      </c>
      <c r="H562" s="18"/>
      <c r="I562" s="18">
        <v>444.30000000000007</v>
      </c>
      <c r="J562" s="18"/>
      <c r="K562" s="18"/>
      <c r="L562" s="88">
        <f>SUM(F562:K562)</f>
        <v>97117.090000000011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>
        <v>18381.599999999999</v>
      </c>
      <c r="I563" s="18"/>
      <c r="J563" s="18"/>
      <c r="K563" s="18"/>
      <c r="L563" s="88">
        <f>SUM(F563:K563)</f>
        <v>18381.599999999999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313.66000000000003</v>
      </c>
      <c r="G564" s="18">
        <v>24</v>
      </c>
      <c r="H564" s="18">
        <v>18381.599999999999</v>
      </c>
      <c r="I564" s="18"/>
      <c r="J564" s="18"/>
      <c r="K564" s="18"/>
      <c r="L564" s="88">
        <f>SUM(F564:K564)</f>
        <v>18719.259999999998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78306.36</v>
      </c>
      <c r="G565" s="89">
        <f t="shared" si="44"/>
        <v>18704.090000000004</v>
      </c>
      <c r="H565" s="89">
        <f t="shared" si="44"/>
        <v>36763.199999999997</v>
      </c>
      <c r="I565" s="89">
        <f t="shared" si="44"/>
        <v>444.30000000000007</v>
      </c>
      <c r="J565" s="89">
        <f t="shared" si="44"/>
        <v>0</v>
      </c>
      <c r="K565" s="89">
        <f t="shared" si="44"/>
        <v>0</v>
      </c>
      <c r="L565" s="89">
        <f t="shared" si="44"/>
        <v>134217.95000000001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78306.36</v>
      </c>
      <c r="G571" s="89">
        <f t="shared" ref="G571:L571" si="46">G560+G565+G570</f>
        <v>18704.090000000004</v>
      </c>
      <c r="H571" s="89">
        <f t="shared" si="46"/>
        <v>36763.199999999997</v>
      </c>
      <c r="I571" s="89">
        <f t="shared" si="46"/>
        <v>444.30000000000007</v>
      </c>
      <c r="J571" s="89">
        <f t="shared" si="46"/>
        <v>0</v>
      </c>
      <c r="K571" s="89">
        <f t="shared" si="46"/>
        <v>0</v>
      </c>
      <c r="L571" s="89">
        <f t="shared" si="46"/>
        <v>134217.95000000001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172376.57</v>
      </c>
      <c r="G582" s="18">
        <v>371506.09</v>
      </c>
      <c r="H582" s="18">
        <v>325575.23</v>
      </c>
      <c r="I582" s="87">
        <f t="shared" si="47"/>
        <v>869457.89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20693.39</v>
      </c>
      <c r="I584" s="87">
        <f t="shared" si="47"/>
        <v>20693.39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795435.47+0.01</f>
        <v>795435.48</v>
      </c>
      <c r="I591" s="18">
        <f>408018.95+0.02</f>
        <v>408018.97000000003</v>
      </c>
      <c r="J591" s="18">
        <v>405798.50999999978</v>
      </c>
      <c r="K591" s="104">
        <f t="shared" ref="K591:K597" si="48">SUM(H591:J591)</f>
        <v>1609252.9599999997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89012.88</v>
      </c>
      <c r="I592" s="18">
        <v>86342.489999999991</v>
      </c>
      <c r="J592" s="18">
        <v>91428.939999999988</v>
      </c>
      <c r="K592" s="104">
        <f t="shared" si="48"/>
        <v>266784.31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23018.82</v>
      </c>
      <c r="K593" s="104">
        <f t="shared" si="48"/>
        <v>23018.82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16574.919999999998</v>
      </c>
      <c r="I594" s="18">
        <v>8287.4599999999991</v>
      </c>
      <c r="J594" s="18">
        <v>8287.4600000000064</v>
      </c>
      <c r="K594" s="104">
        <f t="shared" si="48"/>
        <v>33149.840000000004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17264.169999999998</v>
      </c>
      <c r="I595" s="18">
        <v>11251.17</v>
      </c>
      <c r="J595" s="18">
        <v>4849</v>
      </c>
      <c r="K595" s="104">
        <f t="shared" si="48"/>
        <v>33364.339999999997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25149.86</v>
      </c>
      <c r="I597" s="18">
        <v>12574.93</v>
      </c>
      <c r="J597" s="18">
        <v>12574.930000000002</v>
      </c>
      <c r="K597" s="104">
        <f t="shared" si="48"/>
        <v>50299.72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943437.31</v>
      </c>
      <c r="I598" s="108">
        <f>SUM(I591:I597)</f>
        <v>526475.02</v>
      </c>
      <c r="J598" s="108">
        <f>SUM(J591:J597)</f>
        <v>545957.6599999998</v>
      </c>
      <c r="K598" s="108">
        <f>SUM(K591:K597)</f>
        <v>2015869.99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256903.68+0.02</f>
        <v>256903.69999999998</v>
      </c>
      <c r="I604" s="18">
        <v>206832.06</v>
      </c>
      <c r="J604" s="18">
        <v>214649.11</v>
      </c>
      <c r="K604" s="104">
        <f>SUM(H604:J604)</f>
        <v>678384.87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256903.69999999998</v>
      </c>
      <c r="I605" s="108">
        <f>SUM(I602:I604)</f>
        <v>206832.06</v>
      </c>
      <c r="J605" s="108">
        <f>SUM(J602:J604)</f>
        <v>214649.11</v>
      </c>
      <c r="K605" s="108">
        <f>SUM(K602:K604)</f>
        <v>678384.87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46698.340000000004</v>
      </c>
      <c r="G611" s="18">
        <v>6024.82</v>
      </c>
      <c r="H611" s="18">
        <v>22632.14</v>
      </c>
      <c r="I611" s="18">
        <v>174.72</v>
      </c>
      <c r="J611" s="18"/>
      <c r="K611" s="18"/>
      <c r="L611" s="88">
        <f>SUM(F611:K611)</f>
        <v>75530.02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45771.78</v>
      </c>
      <c r="G612" s="18">
        <v>6534.46</v>
      </c>
      <c r="H612" s="18">
        <v>5950</v>
      </c>
      <c r="I612" s="18">
        <v>399.29</v>
      </c>
      <c r="J612" s="18"/>
      <c r="K612" s="18"/>
      <c r="L612" s="88">
        <f>SUM(F612:K612)</f>
        <v>58655.53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35567.03</v>
      </c>
      <c r="G613" s="18">
        <v>5409.4</v>
      </c>
      <c r="H613" s="18">
        <v>11985.72</v>
      </c>
      <c r="I613" s="18">
        <v>247.86</v>
      </c>
      <c r="J613" s="18"/>
      <c r="K613" s="18"/>
      <c r="L613" s="88">
        <f>SUM(F613:K613)</f>
        <v>53210.01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128037.15</v>
      </c>
      <c r="G614" s="108">
        <f t="shared" si="49"/>
        <v>17968.68</v>
      </c>
      <c r="H614" s="108">
        <f t="shared" si="49"/>
        <v>40567.86</v>
      </c>
      <c r="I614" s="108">
        <f t="shared" si="49"/>
        <v>821.87</v>
      </c>
      <c r="J614" s="108">
        <f t="shared" si="49"/>
        <v>0</v>
      </c>
      <c r="K614" s="108">
        <f t="shared" si="49"/>
        <v>0</v>
      </c>
      <c r="L614" s="89">
        <f t="shared" si="49"/>
        <v>187395.56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2477559.0100000002</v>
      </c>
      <c r="H617" s="109">
        <f>SUM(F52)</f>
        <v>2477559.0099999998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30387.559999999998</v>
      </c>
      <c r="H618" s="109">
        <f>SUM(G52)</f>
        <v>30387.559999999998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226504.16</v>
      </c>
      <c r="H619" s="109">
        <f>SUM(H52)</f>
        <v>226504.16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951647.43</v>
      </c>
      <c r="H621" s="109">
        <f>SUM(J52)</f>
        <v>951647.43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1660002.26</v>
      </c>
      <c r="H622" s="109">
        <f>F476</f>
        <v>1660002.2599999979</v>
      </c>
      <c r="I622" s="121" t="s">
        <v>101</v>
      </c>
      <c r="J622" s="109">
        <f t="shared" ref="J622:J655" si="50">G622-H622</f>
        <v>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20.39</v>
      </c>
      <c r="H623" s="109">
        <f>G476</f>
        <v>20.39000000001397</v>
      </c>
      <c r="I623" s="121" t="s">
        <v>102</v>
      </c>
      <c r="J623" s="109">
        <f t="shared" si="50"/>
        <v>-1.396927018504357E-11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35148.57</v>
      </c>
      <c r="H624" s="109">
        <f>H476</f>
        <v>35148.569999999949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951647.43</v>
      </c>
      <c r="H626" s="109">
        <f>J476</f>
        <v>951647.43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38378414.879999995</v>
      </c>
      <c r="H627" s="104">
        <f>SUM(F468)</f>
        <v>38378414.880000003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650463.80000000005</v>
      </c>
      <c r="H628" s="104">
        <f>SUM(G468)</f>
        <v>650463.80000000005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831113.44000000006</v>
      </c>
      <c r="H629" s="104">
        <f>SUM(H468)</f>
        <v>831113.44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11235.42</v>
      </c>
      <c r="H631" s="104">
        <f>SUM(J468)</f>
        <v>11235.42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38522745.529999994</v>
      </c>
      <c r="H632" s="104">
        <f>SUM(F472)</f>
        <v>38522745.530000001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832429.16000000015</v>
      </c>
      <c r="H633" s="104">
        <f>SUM(H472)</f>
        <v>832429.16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263586.55</v>
      </c>
      <c r="H634" s="104">
        <f>I369</f>
        <v>263586.55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650463.80000000005</v>
      </c>
      <c r="H635" s="104">
        <f>SUM(G472)</f>
        <v>650463.80000000005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11235.42</v>
      </c>
      <c r="H637" s="164">
        <f>SUM(J468)</f>
        <v>11235.42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68444.58</v>
      </c>
      <c r="H638" s="164">
        <f>SUM(J472)</f>
        <v>68444.58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54361.52</v>
      </c>
      <c r="H639" s="104">
        <f>SUM(F461)</f>
        <v>54361.52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897285.91</v>
      </c>
      <c r="H640" s="104">
        <f>SUM(G461)</f>
        <v>897285.91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951647.43</v>
      </c>
      <c r="H642" s="104">
        <f>SUM(I461)</f>
        <v>951647.43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1141.42</v>
      </c>
      <c r="H644" s="104">
        <f>H408</f>
        <v>1141.42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11235.42</v>
      </c>
      <c r="H646" s="104">
        <f>L408</f>
        <v>11235.42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2015869.99</v>
      </c>
      <c r="H647" s="104">
        <f>L208+L226+L244</f>
        <v>2015869.99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678384.87</v>
      </c>
      <c r="H648" s="104">
        <f>(J257+J338)-(J255+J336)</f>
        <v>678384.86999999988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943437.31</v>
      </c>
      <c r="H649" s="104">
        <f>H598</f>
        <v>943437.31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526475.02</v>
      </c>
      <c r="H650" s="104">
        <f>I598</f>
        <v>526475.02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545957.65999999992</v>
      </c>
      <c r="H651" s="104">
        <f>J598</f>
        <v>545957.6599999998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19518.759999999998</v>
      </c>
      <c r="H652" s="104">
        <f>K263+K345</f>
        <v>19518.759999999998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12505514.273222119</v>
      </c>
      <c r="G660" s="19">
        <f>(L229+L309+L359)</f>
        <v>12032905.876725452</v>
      </c>
      <c r="H660" s="19">
        <f>(L247+L328+L360)</f>
        <v>13426886.640052434</v>
      </c>
      <c r="I660" s="19">
        <f>SUM(F660:H660)</f>
        <v>37965306.790000007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166005.25221056116</v>
      </c>
      <c r="G661" s="19">
        <f>(L359/IF(SUM(L358:L360)=0,1,SUM(L358:L360))*(SUM(G97:G110)))</f>
        <v>175494.67296694822</v>
      </c>
      <c r="H661" s="19">
        <f>(L360/IF(SUM(L358:L360)=0,1,SUM(L358:L360))*(SUM(G97:G110)))</f>
        <v>190755.59482249065</v>
      </c>
      <c r="I661" s="19">
        <f>SUM(F661:H661)</f>
        <v>532255.52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813682.24</v>
      </c>
      <c r="G662" s="19">
        <f>(L226+L306)-(J226+J306)</f>
        <v>461597.49</v>
      </c>
      <c r="H662" s="19">
        <f>(L244+L325)-(J244+J325)</f>
        <v>481080.12999999989</v>
      </c>
      <c r="I662" s="19">
        <f>SUM(F662:H662)</f>
        <v>1756359.8599999999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504810.29000000004</v>
      </c>
      <c r="G663" s="199">
        <f>SUM(G575:G587)+SUM(I602:I604)+L612</f>
        <v>636993.68000000005</v>
      </c>
      <c r="H663" s="199">
        <f>SUM(H575:H587)+SUM(J602:J604)+L613</f>
        <v>614127.74</v>
      </c>
      <c r="I663" s="19">
        <f>SUM(F663:H663)</f>
        <v>1755931.7100000002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11021016.491011558</v>
      </c>
      <c r="G664" s="19">
        <f>G660-SUM(G661:G663)</f>
        <v>10758820.033758504</v>
      </c>
      <c r="H664" s="19">
        <f>H660-SUM(H661:H663)</f>
        <v>12140923.175229944</v>
      </c>
      <c r="I664" s="19">
        <f>I660-SUM(I661:I663)</f>
        <v>33920759.700000003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262.07+375.83</f>
        <v>637.9</v>
      </c>
      <c r="G665" s="248">
        <v>675.54</v>
      </c>
      <c r="H665" s="248">
        <v>708.77</v>
      </c>
      <c r="I665" s="19">
        <f>SUM(F665:H665)</f>
        <v>2022.21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17277.03</v>
      </c>
      <c r="G667" s="19">
        <f>ROUND(G664/G665,2)</f>
        <v>15926.25</v>
      </c>
      <c r="H667" s="19">
        <f>ROUND(H664/H665,2)</f>
        <v>17129.57</v>
      </c>
      <c r="I667" s="19">
        <f>ROUND(I664/I665,2)</f>
        <v>16774.099999999999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-8.39</v>
      </c>
      <c r="I670" s="19">
        <f>SUM(F670:H670)</f>
        <v>-8.39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17277.03</v>
      </c>
      <c r="G672" s="19">
        <f>ROUND((G664+G669)/(G665+G670),2)</f>
        <v>15926.25</v>
      </c>
      <c r="H672" s="19">
        <f>ROUND((H664+H669)/(H665+H670),2)</f>
        <v>17334.77</v>
      </c>
      <c r="I672" s="19">
        <f>ROUND((I664+I669)/(I665+I670),2)</f>
        <v>16843.990000000002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H46" sqref="H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Oyster River Coop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11101317.380000003</v>
      </c>
      <c r="C9" s="229">
        <f>'DOE25'!G197+'DOE25'!G215+'DOE25'!G233+'DOE25'!G276+'DOE25'!G295+'DOE25'!G314</f>
        <v>4435309.95</v>
      </c>
    </row>
    <row r="10" spans="1:3" x14ac:dyDescent="0.2">
      <c r="A10" t="s">
        <v>779</v>
      </c>
      <c r="B10" s="240">
        <v>10176320.859999999</v>
      </c>
      <c r="C10" s="240">
        <v>4153995.2181022828</v>
      </c>
    </row>
    <row r="11" spans="1:3" x14ac:dyDescent="0.2">
      <c r="A11" t="s">
        <v>780</v>
      </c>
      <c r="B11" s="240">
        <v>213679.09000000003</v>
      </c>
      <c r="C11" s="240">
        <v>57748.29001416231</v>
      </c>
    </row>
    <row r="12" spans="1:3" x14ac:dyDescent="0.2">
      <c r="A12" t="s">
        <v>781</v>
      </c>
      <c r="B12" s="240">
        <v>711317.42999999993</v>
      </c>
      <c r="C12" s="240">
        <v>223566.44188355532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11101317.379999999</v>
      </c>
      <c r="C13" s="231">
        <f>SUM(C10:C12)</f>
        <v>4435309.9500000011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3862714.8599999994</v>
      </c>
      <c r="C18" s="229">
        <f>'DOE25'!G198+'DOE25'!G216+'DOE25'!G234+'DOE25'!G277+'DOE25'!G296+'DOE25'!G315</f>
        <v>1493150.08</v>
      </c>
    </row>
    <row r="19" spans="1:3" x14ac:dyDescent="0.2">
      <c r="A19" t="s">
        <v>779</v>
      </c>
      <c r="B19" s="240">
        <v>2017787.18</v>
      </c>
      <c r="C19" s="240">
        <v>937297.08</v>
      </c>
    </row>
    <row r="20" spans="1:3" x14ac:dyDescent="0.2">
      <c r="A20" t="s">
        <v>780</v>
      </c>
      <c r="B20" s="240">
        <v>1632728.5399999998</v>
      </c>
      <c r="C20" s="240">
        <v>483408.2</v>
      </c>
    </row>
    <row r="21" spans="1:3" x14ac:dyDescent="0.2">
      <c r="A21" t="s">
        <v>781</v>
      </c>
      <c r="B21" s="240">
        <v>212199.14</v>
      </c>
      <c r="C21" s="240">
        <v>72444.800000000003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3862714.86</v>
      </c>
      <c r="C22" s="231">
        <f>SUM(C19:C21)</f>
        <v>1493150.08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441574.74000000005</v>
      </c>
      <c r="C36" s="235">
        <f>'DOE25'!G200+'DOE25'!G218+'DOE25'!G236+'DOE25'!G279+'DOE25'!G298+'DOE25'!G317</f>
        <v>92757.28</v>
      </c>
    </row>
    <row r="37" spans="1:3" x14ac:dyDescent="0.2">
      <c r="A37" t="s">
        <v>779</v>
      </c>
      <c r="B37" s="240">
        <v>130603.25</v>
      </c>
      <c r="C37" s="240">
        <v>38001.730000000003</v>
      </c>
    </row>
    <row r="38" spans="1:3" x14ac:dyDescent="0.2">
      <c r="A38" t="s">
        <v>780</v>
      </c>
      <c r="B38" s="240">
        <v>39569.56</v>
      </c>
      <c r="C38" s="240">
        <v>6967.37</v>
      </c>
    </row>
    <row r="39" spans="1:3" x14ac:dyDescent="0.2">
      <c r="A39" t="s">
        <v>781</v>
      </c>
      <c r="B39" s="240">
        <v>271401.93</v>
      </c>
      <c r="C39" s="240">
        <v>47788.18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441574.74</v>
      </c>
      <c r="C40" s="231">
        <f>SUM(C37:C39)</f>
        <v>92757.28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G35" sqref="G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Oyster River Coop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22635148.219999999</v>
      </c>
      <c r="D5" s="20">
        <f>SUM('DOE25'!L197:L200)+SUM('DOE25'!L215:L218)+SUM('DOE25'!L233:L236)-F5-G5</f>
        <v>22527052.499999996</v>
      </c>
      <c r="E5" s="243"/>
      <c r="F5" s="255">
        <f>SUM('DOE25'!J197:J200)+SUM('DOE25'!J215:J218)+SUM('DOE25'!J233:J236)</f>
        <v>53210.76</v>
      </c>
      <c r="G5" s="53">
        <f>SUM('DOE25'!K197:K200)+SUM('DOE25'!K215:K218)+SUM('DOE25'!K233:K236)</f>
        <v>54884.960000000006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4141680.67</v>
      </c>
      <c r="D6" s="20">
        <f>'DOE25'!L202+'DOE25'!L220+'DOE25'!L238-F6-G6</f>
        <v>3966950.84</v>
      </c>
      <c r="E6" s="243"/>
      <c r="F6" s="255">
        <f>'DOE25'!J202+'DOE25'!J220+'DOE25'!J238</f>
        <v>168507.81</v>
      </c>
      <c r="G6" s="53">
        <f>'DOE25'!K202+'DOE25'!K220+'DOE25'!K238</f>
        <v>6222.02</v>
      </c>
      <c r="H6" s="259"/>
    </row>
    <row r="7" spans="1:9" x14ac:dyDescent="0.2">
      <c r="A7" s="32">
        <v>2200</v>
      </c>
      <c r="B7" t="s">
        <v>834</v>
      </c>
      <c r="C7" s="245">
        <f t="shared" si="0"/>
        <v>975147.59000000008</v>
      </c>
      <c r="D7" s="20">
        <f>'DOE25'!L203+'DOE25'!L221+'DOE25'!L239-F7-G7</f>
        <v>938014.2300000001</v>
      </c>
      <c r="E7" s="243"/>
      <c r="F7" s="255">
        <f>'DOE25'!J203+'DOE25'!J221+'DOE25'!J239</f>
        <v>36339.86</v>
      </c>
      <c r="G7" s="53">
        <f>'DOE25'!K203+'DOE25'!K221+'DOE25'!K239</f>
        <v>793.5</v>
      </c>
      <c r="H7" s="259"/>
    </row>
    <row r="8" spans="1:9" x14ac:dyDescent="0.2">
      <c r="A8" s="32">
        <v>2300</v>
      </c>
      <c r="B8" t="s">
        <v>802</v>
      </c>
      <c r="C8" s="245">
        <f t="shared" si="0"/>
        <v>526733.98999999987</v>
      </c>
      <c r="D8" s="243"/>
      <c r="E8" s="20">
        <f>'DOE25'!L204+'DOE25'!L222+'DOE25'!L240-F8-G8-D9-D11</f>
        <v>505579.16999999993</v>
      </c>
      <c r="F8" s="255">
        <f>'DOE25'!J204+'DOE25'!J222+'DOE25'!J240</f>
        <v>0</v>
      </c>
      <c r="G8" s="53">
        <f>'DOE25'!K204+'DOE25'!K222+'DOE25'!K240</f>
        <v>21154.82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114212.01</v>
      </c>
      <c r="D9" s="244">
        <v>114212.01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24500</v>
      </c>
      <c r="D10" s="243"/>
      <c r="E10" s="244">
        <v>24500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523769.76</v>
      </c>
      <c r="D11" s="244">
        <v>523769.76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1590271.57</v>
      </c>
      <c r="D12" s="20">
        <f>'DOE25'!L205+'DOE25'!L223+'DOE25'!L241-F12-G12</f>
        <v>1581177.77</v>
      </c>
      <c r="E12" s="243"/>
      <c r="F12" s="255">
        <f>'DOE25'!J205+'DOE25'!J223+'DOE25'!J241</f>
        <v>0</v>
      </c>
      <c r="G12" s="53">
        <f>'DOE25'!K205+'DOE25'!K223+'DOE25'!K241</f>
        <v>9093.7999999999993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184642.99</v>
      </c>
      <c r="D13" s="243"/>
      <c r="E13" s="20">
        <f>'DOE25'!L206+'DOE25'!L224+'DOE25'!L242-F13-G13</f>
        <v>182945.99</v>
      </c>
      <c r="F13" s="255">
        <f>'DOE25'!J206+'DOE25'!J224+'DOE25'!J242</f>
        <v>0</v>
      </c>
      <c r="G13" s="53">
        <f>'DOE25'!K206+'DOE25'!K224+'DOE25'!K242</f>
        <v>1697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3774937.04</v>
      </c>
      <c r="D14" s="20">
        <f>'DOE25'!L207+'DOE25'!L225+'DOE25'!L243-F14-G14</f>
        <v>3722337.79</v>
      </c>
      <c r="E14" s="243"/>
      <c r="F14" s="255">
        <f>'DOE25'!J207+'DOE25'!J225+'DOE25'!J243</f>
        <v>52599.25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2015869.9899999998</v>
      </c>
      <c r="D15" s="20">
        <f>'DOE25'!L208+'DOE25'!L226+'DOE25'!L244-F15-G15</f>
        <v>1754925.8599999999</v>
      </c>
      <c r="E15" s="243"/>
      <c r="F15" s="255">
        <f>'DOE25'!J208+'DOE25'!J226+'DOE25'!J244</f>
        <v>259510.13</v>
      </c>
      <c r="G15" s="53">
        <f>'DOE25'!K208+'DOE25'!K226+'DOE25'!K244</f>
        <v>1434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472775.44</v>
      </c>
      <c r="D22" s="243"/>
      <c r="E22" s="243"/>
      <c r="F22" s="255">
        <f>'DOE25'!L255+'DOE25'!L336</f>
        <v>472775.44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1548037.5</v>
      </c>
      <c r="D25" s="243"/>
      <c r="E25" s="243"/>
      <c r="F25" s="258"/>
      <c r="G25" s="256"/>
      <c r="H25" s="257">
        <f>'DOE25'!L260+'DOE25'!L261+'DOE25'!L341+'DOE25'!L342</f>
        <v>1548037.5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406511.09000000008</v>
      </c>
      <c r="D29" s="20">
        <f>'DOE25'!L358+'DOE25'!L359+'DOE25'!L360-'DOE25'!I367-F29-G29</f>
        <v>397399.85000000009</v>
      </c>
      <c r="E29" s="243"/>
      <c r="F29" s="255">
        <f>'DOE25'!J358+'DOE25'!J359+'DOE25'!J360</f>
        <v>8352.9900000000016</v>
      </c>
      <c r="G29" s="53">
        <f>'DOE25'!K358+'DOE25'!K359+'DOE25'!K360</f>
        <v>758.25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832429.16000000015</v>
      </c>
      <c r="D31" s="20">
        <f>'DOE25'!L290+'DOE25'!L309+'DOE25'!L328+'DOE25'!L333+'DOE25'!L334+'DOE25'!L335-F31-G31</f>
        <v>724212.10000000009</v>
      </c>
      <c r="E31" s="243"/>
      <c r="F31" s="255">
        <f>'DOE25'!J290+'DOE25'!J309+'DOE25'!J328+'DOE25'!J333+'DOE25'!J334+'DOE25'!J335</f>
        <v>108217.06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36250052.710000001</v>
      </c>
      <c r="E33" s="246">
        <f>SUM(E5:E31)</f>
        <v>713025.15999999992</v>
      </c>
      <c r="F33" s="246">
        <f>SUM(F5:F31)</f>
        <v>1159513.3</v>
      </c>
      <c r="G33" s="246">
        <f>SUM(G5:G31)</f>
        <v>96038.35000000002</v>
      </c>
      <c r="H33" s="246">
        <f>SUM(H5:H31)</f>
        <v>1548037.5</v>
      </c>
    </row>
    <row r="35" spans="2:8" ht="12" thickBot="1" x14ac:dyDescent="0.25">
      <c r="B35" s="253" t="s">
        <v>847</v>
      </c>
      <c r="D35" s="254">
        <f>E33</f>
        <v>713025.15999999992</v>
      </c>
      <c r="E35" s="249"/>
    </row>
    <row r="36" spans="2:8" ht="12" thickTop="1" x14ac:dyDescent="0.2">
      <c r="B36" t="s">
        <v>815</v>
      </c>
      <c r="D36" s="20">
        <f>D33</f>
        <v>36250052.710000001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" activePane="bottomLeft" state="frozen"/>
      <selection activeCell="F46" sqref="F46"/>
      <selection pane="bottomLeft" activeCell="K104" sqref="K10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Oyster River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2257652.56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951647.43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155106.81</v>
      </c>
      <c r="D11" s="95">
        <f>'DOE25'!G12</f>
        <v>17709.05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226504.16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15436.23</v>
      </c>
      <c r="D13" s="95">
        <f>'DOE25'!G14</f>
        <v>12678.51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49363.41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2477559.0100000002</v>
      </c>
      <c r="D18" s="41">
        <f>SUM(D8:D17)</f>
        <v>30387.559999999998</v>
      </c>
      <c r="E18" s="41">
        <f>SUM(E8:E17)</f>
        <v>226504.16</v>
      </c>
      <c r="F18" s="41">
        <f>SUM(F8:F17)</f>
        <v>0</v>
      </c>
      <c r="G18" s="41">
        <f>SUM(G8:G17)</f>
        <v>951647.43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172815.86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132047.21</v>
      </c>
      <c r="D23" s="95">
        <f>'DOE25'!G24</f>
        <v>-119.11</v>
      </c>
      <c r="E23" s="95">
        <f>'DOE25'!H24</f>
        <v>18539.73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685297.26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30486.28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212.28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817556.75</v>
      </c>
      <c r="D31" s="41">
        <f>SUM(D21:D30)</f>
        <v>30367.17</v>
      </c>
      <c r="E31" s="41">
        <f>SUM(E21:E30)</f>
        <v>191355.59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49363.41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20.39</v>
      </c>
      <c r="E42" s="95">
        <f>'DOE25'!H43</f>
        <v>35148.57</v>
      </c>
      <c r="F42" s="95">
        <f>'DOE25'!I43</f>
        <v>0</v>
      </c>
      <c r="G42" s="95">
        <f>'DOE25'!J43</f>
        <v>951647.43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500000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0.25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65700.75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844937.85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1660002.26</v>
      </c>
      <c r="D50" s="41">
        <f>SUM(D34:D49)</f>
        <v>20.39</v>
      </c>
      <c r="E50" s="41">
        <f>SUM(E34:E49)</f>
        <v>35148.57</v>
      </c>
      <c r="F50" s="41">
        <f>SUM(F34:F49)</f>
        <v>0</v>
      </c>
      <c r="G50" s="41">
        <f>SUM(G34:G49)</f>
        <v>951647.43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2477559.0099999998</v>
      </c>
      <c r="D51" s="41">
        <f>D50+D31</f>
        <v>30387.559999999998</v>
      </c>
      <c r="E51" s="41">
        <f>E50+E31</f>
        <v>226504.16</v>
      </c>
      <c r="F51" s="41">
        <f>F50+F31</f>
        <v>0</v>
      </c>
      <c r="G51" s="41">
        <f>G50+G31</f>
        <v>951647.43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27423749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1376061.15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25121.33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4110.33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1141.42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528104.52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38564.83</v>
      </c>
      <c r="D61" s="95">
        <f>SUM('DOE25'!G98:G110)</f>
        <v>4151</v>
      </c>
      <c r="E61" s="95">
        <f>SUM('DOE25'!H98:H110)</f>
        <v>46681.770000000004</v>
      </c>
      <c r="F61" s="95">
        <f>SUM('DOE25'!I98:I110)</f>
        <v>0</v>
      </c>
      <c r="G61" s="95">
        <f>SUM('DOE25'!J98:J110)</f>
        <v>10094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1443857.6400000001</v>
      </c>
      <c r="D62" s="130">
        <f>SUM(D57:D61)</f>
        <v>532255.52</v>
      </c>
      <c r="E62" s="130">
        <f>SUM(E57:E61)</f>
        <v>46681.770000000004</v>
      </c>
      <c r="F62" s="130">
        <f>SUM(F57:F61)</f>
        <v>0</v>
      </c>
      <c r="G62" s="130">
        <f>SUM(G57:G61)</f>
        <v>11235.42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28867606.640000001</v>
      </c>
      <c r="D63" s="22">
        <f>D56+D62</f>
        <v>532255.52</v>
      </c>
      <c r="E63" s="22">
        <f>E56+E62</f>
        <v>46681.770000000004</v>
      </c>
      <c r="F63" s="22">
        <f>F56+F62</f>
        <v>0</v>
      </c>
      <c r="G63" s="22">
        <f>G56+G62</f>
        <v>11235.42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4679721.5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3792012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2408.9299999999998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8474142.4299999997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523742.08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132670.65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4610.3999999999996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5366.63</v>
      </c>
      <c r="E77" s="95">
        <f>SUM('DOE25'!H131:H135)</f>
        <v>94314.37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661023.13</v>
      </c>
      <c r="D78" s="130">
        <f>SUM(D72:D77)</f>
        <v>5366.63</v>
      </c>
      <c r="E78" s="130">
        <f>SUM(E72:E77)</f>
        <v>94314.37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9135165.5600000005</v>
      </c>
      <c r="D81" s="130">
        <f>SUM(D79:D80)+D78+D70</f>
        <v>5366.63</v>
      </c>
      <c r="E81" s="130">
        <f>SUM(E79:E80)+E78+E70</f>
        <v>94314.37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318848.09999999998</v>
      </c>
      <c r="D88" s="95">
        <f>SUM('DOE25'!G153:G161)</f>
        <v>93322.89</v>
      </c>
      <c r="E88" s="95">
        <f>SUM('DOE25'!H153:H161)</f>
        <v>690117.3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318848.09999999998</v>
      </c>
      <c r="D91" s="131">
        <f>SUM(D85:D90)</f>
        <v>93322.89</v>
      </c>
      <c r="E91" s="131">
        <f>SUM(E85:E90)</f>
        <v>690117.3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19518.759999999998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56794.58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56794.58</v>
      </c>
      <c r="D103" s="86">
        <f>SUM(D93:D102)</f>
        <v>19518.759999999998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38378414.880000003</v>
      </c>
      <c r="D104" s="86">
        <f>D63+D81+D91+D103</f>
        <v>650463.80000000005</v>
      </c>
      <c r="E104" s="86">
        <f>E63+E81+E91+E103</f>
        <v>831113.44000000006</v>
      </c>
      <c r="F104" s="86">
        <f>F63+F81+F91+F103</f>
        <v>0</v>
      </c>
      <c r="G104" s="86">
        <f>G63+G81+G103</f>
        <v>11235.42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15845722.220000003</v>
      </c>
      <c r="D109" s="24" t="s">
        <v>289</v>
      </c>
      <c r="E109" s="95">
        <f>('DOE25'!L276)+('DOE25'!L295)+('DOE25'!L314)</f>
        <v>221984.81000000003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6027757.9800000004</v>
      </c>
      <c r="D110" s="24" t="s">
        <v>289</v>
      </c>
      <c r="E110" s="95">
        <f>('DOE25'!L277)+('DOE25'!L296)+('DOE25'!L315)</f>
        <v>436568.82000000007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20693.39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740974.63</v>
      </c>
      <c r="D112" s="24" t="s">
        <v>289</v>
      </c>
      <c r="E112" s="95">
        <f>+('DOE25'!L279)+('DOE25'!L298)+('DOE25'!L317)</f>
        <v>13583.89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22635148.220000003</v>
      </c>
      <c r="D115" s="86">
        <f>SUM(D109:D114)</f>
        <v>0</v>
      </c>
      <c r="E115" s="86">
        <f>SUM(E109:E114)</f>
        <v>672137.52000000014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4141680.67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975147.59000000008</v>
      </c>
      <c r="D119" s="24" t="s">
        <v>289</v>
      </c>
      <c r="E119" s="95">
        <f>+('DOE25'!L282)+('DOE25'!L301)+('DOE25'!L320)</f>
        <v>48109.69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1164715.76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1590271.57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184642.99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3774937.04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2015869.99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112181.95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650463.80000000005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13847265.610000001</v>
      </c>
      <c r="D128" s="86">
        <f>SUM(D118:D127)</f>
        <v>650463.80000000005</v>
      </c>
      <c r="E128" s="86">
        <f>SUM(E118:E127)</f>
        <v>160291.64000000001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472775.44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413037.5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56794.58</v>
      </c>
    </row>
    <row r="135" spans="1:7" x14ac:dyDescent="0.2">
      <c r="A135" t="s">
        <v>233</v>
      </c>
      <c r="B135" s="32" t="s">
        <v>234</v>
      </c>
      <c r="C135" s="95">
        <f>'DOE25'!L263</f>
        <v>19518.759999999998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393.57000000000005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10841.85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-11235.42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2040331.7000000002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56794.58</v>
      </c>
    </row>
    <row r="145" spans="1:9" ht="12.75" thickTop="1" thickBot="1" x14ac:dyDescent="0.25">
      <c r="A145" s="33" t="s">
        <v>244</v>
      </c>
      <c r="C145" s="86">
        <f>(C115+C128+C144)</f>
        <v>38522745.530000009</v>
      </c>
      <c r="D145" s="86">
        <f>(D115+D128+D144)</f>
        <v>650463.80000000005</v>
      </c>
      <c r="E145" s="86">
        <f>(E115+E128+E144)</f>
        <v>832429.16000000015</v>
      </c>
      <c r="F145" s="86">
        <f>(F115+F128+F144)</f>
        <v>0</v>
      </c>
      <c r="G145" s="86">
        <f>(G115+G128+G144)</f>
        <v>56794.58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20</v>
      </c>
      <c r="F151" s="153">
        <f>'DOE25'!J490</f>
        <v>20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 t="str">
        <f>'DOE25'!I491</f>
        <v>11/01</v>
      </c>
      <c r="F152" s="152" t="str">
        <f>'DOE25'!J491</f>
        <v>08/03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 t="str">
        <f>'DOE25'!I492</f>
        <v>11/21</v>
      </c>
      <c r="F153" s="152" t="str">
        <f>'DOE25'!J492</f>
        <v>02/23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2300000</v>
      </c>
      <c r="F154" s="137">
        <f>'DOE25'!J493</f>
        <v>20406711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4.22</v>
      </c>
      <c r="F155" s="137">
        <f>'DOE25'!J494</f>
        <v>4.09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920000</v>
      </c>
      <c r="F156" s="137">
        <f>'DOE25'!J495</f>
        <v>9180000</v>
      </c>
      <c r="G156" s="138">
        <f>SUM(B156:F156)</f>
        <v>10100000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115000</v>
      </c>
      <c r="F158" s="137">
        <f>'DOE25'!J497</f>
        <v>1020000</v>
      </c>
      <c r="G158" s="138">
        <f t="shared" si="0"/>
        <v>1135000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805000</v>
      </c>
      <c r="F159" s="137">
        <f>'DOE25'!J498</f>
        <v>8160000</v>
      </c>
      <c r="G159" s="138">
        <f t="shared" si="0"/>
        <v>8965000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129547.5</v>
      </c>
      <c r="F160" s="137">
        <f>'DOE25'!J499</f>
        <v>1461150</v>
      </c>
      <c r="G160" s="138">
        <f t="shared" si="0"/>
        <v>1590697.5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934547.5</v>
      </c>
      <c r="F161" s="137">
        <f>'DOE25'!J500</f>
        <v>9621150</v>
      </c>
      <c r="G161" s="138">
        <f t="shared" si="0"/>
        <v>10555697.5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115000</v>
      </c>
      <c r="F162" s="137">
        <f>'DOE25'!J501</f>
        <v>1020000</v>
      </c>
      <c r="G162" s="138">
        <f t="shared" si="0"/>
        <v>1135000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33896.25</v>
      </c>
      <c r="F163" s="137">
        <f>'DOE25'!J502</f>
        <v>333540</v>
      </c>
      <c r="G163" s="138">
        <f t="shared" si="0"/>
        <v>367436.25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148896.25</v>
      </c>
      <c r="F164" s="137">
        <f>'DOE25'!J503</f>
        <v>1353540</v>
      </c>
      <c r="G164" s="138">
        <f t="shared" si="0"/>
        <v>1502436.25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activeCell="D41" sqref="D4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Oyster River Coop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17277</v>
      </c>
    </row>
    <row r="5" spans="1:4" x14ac:dyDescent="0.2">
      <c r="B5" t="s">
        <v>704</v>
      </c>
      <c r="C5" s="179">
        <f>IF('DOE25'!G665+'DOE25'!G670=0,0,ROUND('DOE25'!G672,0))</f>
        <v>15926</v>
      </c>
    </row>
    <row r="6" spans="1:4" x14ac:dyDescent="0.2">
      <c r="B6" t="s">
        <v>62</v>
      </c>
      <c r="C6" s="179">
        <f>IF('DOE25'!H665+'DOE25'!H670=0,0,ROUND('DOE25'!H672,0))</f>
        <v>17335</v>
      </c>
    </row>
    <row r="7" spans="1:4" x14ac:dyDescent="0.2">
      <c r="B7" t="s">
        <v>705</v>
      </c>
      <c r="C7" s="179">
        <f>IF('DOE25'!I665+'DOE25'!I670=0,0,ROUND('DOE25'!I672,0))</f>
        <v>16844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16067707</v>
      </c>
      <c r="D10" s="182">
        <f>ROUND((C10/$C$28)*100,1)</f>
        <v>42.5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6464327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20693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754559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4141681</v>
      </c>
      <c r="D15" s="182">
        <f t="shared" ref="D15:D27" si="0">ROUND((C15/$C$28)*100,1)</f>
        <v>10.9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1023257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1276898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1590272</v>
      </c>
      <c r="D18" s="182">
        <f t="shared" si="0"/>
        <v>4.2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184643</v>
      </c>
      <c r="D19" s="182">
        <f t="shared" si="0"/>
        <v>0.5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3774937</v>
      </c>
      <c r="D20" s="182">
        <f t="shared" si="0"/>
        <v>10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2015870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413038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118208.47999999998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37846090.479999997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472775</v>
      </c>
    </row>
    <row r="30" spans="1:4" x14ac:dyDescent="0.2">
      <c r="B30" s="187" t="s">
        <v>729</v>
      </c>
      <c r="C30" s="180">
        <f>SUM(C28:C29)</f>
        <v>38318865.479999997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1135000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27423749</v>
      </c>
      <c r="D35" s="182">
        <f t="shared" ref="D35:D40" si="1">ROUND((C35/$C$41)*100,1)</f>
        <v>69.8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1501774.8299999982</v>
      </c>
      <c r="D36" s="182">
        <f t="shared" si="1"/>
        <v>3.8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8471734</v>
      </c>
      <c r="D37" s="182">
        <f t="shared" si="1"/>
        <v>21.6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763113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1102288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39262658.829999998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Oyster River Coop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2015-08-26T16:48:44Z</cp:lastPrinted>
  <dcterms:created xsi:type="dcterms:W3CDTF">1997-12-04T19:04:30Z</dcterms:created>
  <dcterms:modified xsi:type="dcterms:W3CDTF">2015-11-30T13:46:35Z</dcterms:modified>
</cp:coreProperties>
</file>