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12" i="2" s="1"/>
  <c r="F6" i="13"/>
  <c r="G6" i="13"/>
  <c r="L202" i="1"/>
  <c r="L220" i="1"/>
  <c r="L238" i="1"/>
  <c r="C118" i="2" s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C10" i="10" s="1"/>
  <c r="L315" i="1"/>
  <c r="L316" i="1"/>
  <c r="C12" i="10" s="1"/>
  <c r="L317" i="1"/>
  <c r="L319" i="1"/>
  <c r="E118" i="2" s="1"/>
  <c r="L320" i="1"/>
  <c r="E119" i="2" s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3" i="10"/>
  <c r="C15" i="10"/>
  <c r="C16" i="10"/>
  <c r="C17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F661" i="1"/>
  <c r="G661" i="1"/>
  <c r="F662" i="1"/>
  <c r="G662" i="1"/>
  <c r="H662" i="1"/>
  <c r="I662" i="1" s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2" i="2"/>
  <c r="C113" i="2"/>
  <c r="E113" i="2"/>
  <c r="C114" i="2"/>
  <c r="D115" i="2"/>
  <c r="F115" i="2"/>
  <c r="G115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I257" i="1" s="1"/>
  <c r="I271" i="1" s="1"/>
  <c r="J247" i="1"/>
  <c r="J257" i="1" s="1"/>
  <c r="J271" i="1" s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8" i="1" s="1"/>
  <c r="G647" i="1" s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18" i="2"/>
  <c r="C26" i="10"/>
  <c r="L328" i="1"/>
  <c r="L351" i="1"/>
  <c r="L290" i="1"/>
  <c r="F660" i="1" s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I476" i="1"/>
  <c r="H625" i="1" s="1"/>
  <c r="J625" i="1" s="1"/>
  <c r="G476" i="1"/>
  <c r="H623" i="1" s="1"/>
  <c r="F169" i="1"/>
  <c r="J140" i="1"/>
  <c r="F571" i="1"/>
  <c r="F664" i="1"/>
  <c r="F672" i="1" s="1"/>
  <c r="C4" i="10" s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F22" i="13"/>
  <c r="H25" i="13"/>
  <c r="C25" i="13" s="1"/>
  <c r="J640" i="1"/>
  <c r="J634" i="1"/>
  <c r="H571" i="1"/>
  <c r="L560" i="1"/>
  <c r="H338" i="1"/>
  <c r="H352" i="1" s="1"/>
  <c r="G192" i="1"/>
  <c r="H192" i="1"/>
  <c r="F552" i="1"/>
  <c r="C35" i="10"/>
  <c r="L309" i="1"/>
  <c r="D5" i="13"/>
  <c r="C5" i="13" s="1"/>
  <c r="E16" i="13"/>
  <c r="J655" i="1"/>
  <c r="J645" i="1"/>
  <c r="L570" i="1"/>
  <c r="I571" i="1"/>
  <c r="J636" i="1"/>
  <c r="G36" i="2"/>
  <c r="L565" i="1"/>
  <c r="G545" i="1"/>
  <c r="K551" i="1"/>
  <c r="K552" i="1" s="1"/>
  <c r="C22" i="13"/>
  <c r="C138" i="2"/>
  <c r="C16" i="13"/>
  <c r="H33" i="13"/>
  <c r="F667" i="1"/>
  <c r="A13" i="12" l="1"/>
  <c r="L614" i="1"/>
  <c r="J651" i="1"/>
  <c r="H545" i="1"/>
  <c r="L545" i="1"/>
  <c r="H476" i="1"/>
  <c r="H624" i="1" s="1"/>
  <c r="J624" i="1" s="1"/>
  <c r="J639" i="1"/>
  <c r="I661" i="1"/>
  <c r="D145" i="2"/>
  <c r="G338" i="1"/>
  <c r="G352" i="1" s="1"/>
  <c r="F338" i="1"/>
  <c r="F352" i="1" s="1"/>
  <c r="C21" i="10"/>
  <c r="E128" i="2"/>
  <c r="E111" i="2"/>
  <c r="E115" i="2" s="1"/>
  <c r="C11" i="10"/>
  <c r="H257" i="1"/>
  <c r="H271" i="1" s="1"/>
  <c r="D6" i="13"/>
  <c r="C6" i="13" s="1"/>
  <c r="J647" i="1"/>
  <c r="E33" i="13"/>
  <c r="D35" i="13" s="1"/>
  <c r="C128" i="2"/>
  <c r="L247" i="1"/>
  <c r="L257" i="1" s="1"/>
  <c r="L271" i="1" s="1"/>
  <c r="G632" i="1" s="1"/>
  <c r="J632" i="1" s="1"/>
  <c r="C110" i="2"/>
  <c r="C115" i="2" s="1"/>
  <c r="C81" i="2"/>
  <c r="C62" i="2"/>
  <c r="C63" i="2"/>
  <c r="C104" i="2" s="1"/>
  <c r="J623" i="1"/>
  <c r="H52" i="1"/>
  <c r="H619" i="1" s="1"/>
  <c r="J617" i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G672" i="1" l="1"/>
  <c r="C5" i="10" s="1"/>
  <c r="E145" i="2"/>
  <c r="D31" i="13"/>
  <c r="C31" i="13" s="1"/>
  <c r="C28" i="10"/>
  <c r="D19" i="10" s="1"/>
  <c r="H660" i="1"/>
  <c r="H664" i="1" s="1"/>
  <c r="H672" i="1" s="1"/>
  <c r="C6" i="10" s="1"/>
  <c r="C145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11" i="10"/>
  <c r="D12" i="10"/>
  <c r="D22" i="10"/>
  <c r="D18" i="10"/>
  <c r="D27" i="10"/>
  <c r="D17" i="10"/>
  <c r="D24" i="10"/>
  <c r="D13" i="10"/>
  <c r="D21" i="10"/>
  <c r="D10" i="10"/>
  <c r="D26" i="10"/>
  <c r="C30" i="10"/>
  <c r="D16" i="10"/>
  <c r="D23" i="10"/>
  <c r="D20" i="10"/>
  <c r="D15" i="10"/>
  <c r="D25" i="10"/>
  <c r="I660" i="1"/>
  <c r="I664" i="1" s="1"/>
  <c r="I672" i="1" s="1"/>
  <c r="C7" i="10" s="1"/>
  <c r="H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<sst xmlns="http://schemas.openxmlformats.org/spreadsheetml/2006/main" count="3954" uniqueCount="912">
  <si>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</si>
  <si>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</si>
  <si>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</si>
  <si>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</si>
  <si>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</si>
  <si>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</si>
  <si>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</si>
  <si>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</si>
  <si>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</si>
  <si>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</si>
  <si>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</si>
  <si>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</si>
  <si>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</si>
  <si>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</si>
  <si>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</si>
  <si>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</si>
  <si>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</si>
  <si>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</si>
  <si>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</si>
  <si>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</si>
  <si>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</si>
  <si>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</si>
  <si>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</si>
  <si>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</si>
  <si>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</si>
  <si>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</si>
  <si>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</si>
  <si>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</si>
  <si>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</si>
  <si>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</si>
  <si>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</si>
  <si>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</si>
  <si>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</si>
  <si>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</si>
  <si>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</si>
  <si>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</si>
  <si>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</si>
  <si>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</si>
  <si>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</si>
  <si>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</si>
  <si>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</si>
  <si>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</si>
  <si>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</si>
  <si>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</si>
  <si>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</si>
  <si>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</si>
  <si>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</si>
  <si>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</si>
  <si>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</si>
  <si>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</si>
  <si>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</si>
  <si>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</si>
  <si>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</si>
  <si>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</si>
  <si>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</si>
  <si>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</si>
  <si>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</si>
  <si>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</si>
  <si>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</si>
  <si>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</si>
  <si>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</si>
  <si>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</si>
  <si>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</si>
  <si>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</si>
  <si>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</si>
  <si>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</si>
  <si>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</si>
  <si>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</si>
  <si>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</si>
  <si>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</si>
  <si>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</si>
  <si>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</si>
  <si>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</si>
  <si>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</si>
  <si>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</si>
  <si>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</si>
  <si>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</si>
  <si>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</si>
  <si>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</si>
  <si>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</si>
  <si>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</si>
  <si>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</si>
  <si>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</si>
  <si>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</si>
  <si>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</si>
  <si>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</si>
  <si>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</si>
  <si>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</si>
  <si>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</si>
  <si>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</si>
  <si>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</si>
  <si>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</si>
  <si>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</si>
  <si>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</si>
  <si>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</si>
  <si>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</si>
  <si>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</si>
  <si>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</si>
  <si>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</si>
  <si>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</si>
  <si>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</si>
  <si>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</si>
  <si>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</si>
  <si>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</si>
  <si>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</si>
  <si>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</si>
  <si>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</si>
  <si>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</si>
  <si>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</si>
  <si>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</si>
  <si>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</si>
  <si>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</si>
  <si>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</si>
  <si>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</si>
  <si>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</si>
  <si>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</si>
  <si>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</si>
  <si>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</si>
  <si>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</si>
  <si>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</si>
  <si>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</si>
  <si>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</si>
  <si>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</si>
  <si>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</si>
  <si>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</si>
  <si>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</si>
  <si>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</si>
  <si>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</si>
  <si>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</si>
  <si>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</si>
  <si>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</si>
  <si>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</si>
  <si>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</si>
  <si>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</si>
  <si>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</si>
  <si>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</si>
  <si>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</si>
  <si>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</si>
  <si>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</si>
  <si>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</si>
  <si>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</si>
  <si>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</si>
  <si>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</si>
  <si>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</si>
  <si>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</si>
  <si>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</si>
  <si>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</si>
  <si>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</si>
  <si>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</si>
  <si>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</si>
  <si>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</si>
  <si>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</si>
  <si>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</si>
  <si>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</si>
  <si>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</si>
  <si>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</si>
  <si>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</si>
  <si>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</si>
  <si>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</si>
  <si>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</si>
  <si>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</si>
  <si>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</si>
  <si>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</si>
  <si>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</si>
  <si>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</si>
  <si>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</si>
  <si>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</si>
  <si>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</si>
  <si>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</si>
  <si>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</si>
  <si>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</si>
  <si>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</si>
  <si>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</si>
  <si>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</si>
  <si>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</si>
  <si>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</si>
  <si>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</si>
  <si>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</si>
  <si>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</si>
  <si>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</si>
  <si>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</si>
  <si>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</si>
  <si>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</si>
  <si>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</si>
  <si>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</si>
  <si>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</si>
  <si>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</si>
  <si>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</si>
  <si>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</si>
  <si>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</si>
  <si>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</si>
  <si>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</si>
  <si>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</si>
  <si>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</si>
  <si>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</si>
  <si>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</si>
  <si>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</si>
  <si>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</si>
  <si>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</si>
  <si>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</si>
  <si>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</si>
  <si>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</si>
  <si>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</si>
  <si>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</si>
  <si>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</si>
  <si>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</si>
  <si>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</si>
  <si>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</si>
  <si>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</si>
  <si>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</si>
  <si>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</si>
  <si>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</si>
  <si>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</si>
  <si>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</si>
  <si>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</si>
  <si>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</si>
  <si>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</si>
  <si>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</si>
  <si>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</si>
  <si>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</si>
  <si>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</si>
  <si>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</si>
  <si>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</si>
  <si>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</si>
  <si>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</si>
  <si>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</si>
  <si>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</si>
  <si>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</si>
  <si>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</si>
  <si>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</si>
  <si>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</si>
  <si>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</si>
  <si>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</si>
  <si>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</si>
  <si>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</si>
  <si>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</si>
  <si>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</si>
  <si>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</si>
  <si>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</si>
  <si>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</si>
  <si>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</si>
  <si>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</si>
  <si>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</si>
  <si>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</si>
  <si>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</si>
  <si>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</si>
  <si>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</si>
  <si>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</si>
  <si>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</si>
  <si>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</si>
  <si>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</si>
  <si>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</si>
  <si>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</si>
  <si>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</si>
  <si>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</si>
  <si>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</si>
  <si>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</si>
  <si>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</si>
  <si>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</si>
  <si>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</si>
  <si>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</si>
  <si>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</si>
  <si>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</si>
  <si>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</si>
  <si>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</si>
  <si>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</si>
  <si>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</si>
  <si>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</si>
  <si>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</si>
  <si>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</si>
  <si>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</si>
  <si>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</si>
  <si>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</si>
  <si>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</si>
  <si>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</si>
  <si>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</si>
  <si>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</si>
  <si>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</si>
  <si>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</si>
  <si>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</si>
  <si>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</si>
  <si>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</si>
  <si>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</si>
  <si>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</si>
  <si>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</si>
  <si>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</si>
  <si>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</si>
  <si>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</si>
  <si>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</si>
  <si>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</si>
  <si>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</si>
  <si>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</si>
  <si>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</si>
  <si>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</si>
  <si>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</si>
  <si>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</si>
  <si>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</si>
  <si>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</si>
  <si>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</si>
  <si>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</si>
  <si>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</si>
  <si>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</si>
  <si>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</si>
  <si>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</si>
  <si>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</si>
  <si>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</si>
  <si>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</si>
  <si>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</si>
  <si>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</si>
  <si>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</si>
  <si>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</si>
  <si>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</si>
  <si>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</si>
  <si>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</si>
  <si>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</si>
  <si>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</si>
  <si>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</si>
  <si>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</si>
  <si>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</si>
  <si>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</si>
  <si>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</si>
  <si>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</si>
  <si>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</si>
  <si>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</si>
  <si>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</si>
  <si>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</si>
  <si>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</si>
  <si>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</si>
  <si>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</si>
  <si>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</si>
  <si>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</si>
  <si>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</si>
  <si>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</si>
  <si>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</si>
  <si>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</si>
  <si>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</si>
  <si>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</si>
  <si>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</si>
  <si>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</si>
  <si>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</si>
  <si>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</si>
  <si>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</si>
  <si>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</si>
  <si>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</si>
  <si>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</si>
  <si>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</si>
  <si>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</si>
  <si>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</si>
  <si>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</si>
  <si>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</si>
  <si>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</si>
  <si>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</si>
  <si>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</si>
  <si>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</si>
  <si>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</si>
  <si>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</si>
  <si>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</si>
  <si>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</si>
  <si>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</si>
  <si>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</si>
  <si>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</si>
  <si>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</si>
  <si>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</si>
  <si>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</si>
  <si>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</si>
  <si>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</si>
  <si>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</si>
  <si>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</si>
  <si>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</si>
  <si>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</si>
  <si>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</si>
  <si>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</si>
  <si>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</si>
  <si>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</si>
  <si>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</si>
  <si>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</si>
  <si>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</si>
  <si>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</si>
  <si>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</si>
  <si>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</si>
  <si>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</si>
  <si>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</si>
  <si>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</si>
  <si>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</si>
  <si>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</si>
  <si>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</si>
  <si>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</si>
  <si>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</si>
  <si>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</si>
  <si>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</si>
  <si>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</si>
  <si>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</si>
  <si>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</si>
  <si>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</si>
  <si>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</si>
  <si>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</si>
  <si>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</si>
  <si>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</si>
  <si>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</si>
  <si>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</si>
  <si>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</si>
  <si>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</si>
  <si>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</si>
  <si>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</si>
  <si>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</si>
  <si>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</si>
  <si>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</si>
  <si>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</si>
  <si>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</si>
  <si>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</si>
  <si>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</si>
  <si>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</si>
  <si>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</si>
  <si>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</si>
  <si>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</si>
  <si>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</si>
  <si>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</si>
  <si>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</si>
  <si>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</si>
  <si>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</si>
  <si>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</si>
  <si>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</si>
  <si>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</si>
  <si>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</si>
  <si>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</si>
  <si>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</si>
  <si>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</si>
  <si>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</si>
  <si>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</si>
  <si>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</si>
  <si>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</si>
  <si>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</si>
  <si>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</si>
  <si>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</si>
  <si>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</si>
  <si>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</si>
  <si>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</si>
  <si>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</si>
  <si>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</si>
  <si>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</si>
  <si>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</si>
  <si>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</si>
  <si>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</si>
  <si>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</si>
  <si>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</si>
  <si>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</si>
  <si>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</si>
  <si>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</si>
  <si>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</si>
  <si>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</si>
  <si>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</si>
  <si>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</si>
  <si>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</si>
  <si>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</si>
  <si>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</si>
  <si>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</si>
  <si>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</si>
  <si>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</si>
  <si>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</si>
  <si>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</si>
  <si>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</si>
  <si>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</si>
  <si>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</si>
  <si>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</si>
  <si>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</si>
  <si>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</si>
  <si>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</si>
  <si>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</si>
  <si>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</si>
  <si>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</si>
  <si>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</si>
  <si>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</si>
  <si>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</si>
  <si>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</si>
  <si>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</si>
  <si>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</si>
  <si>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</si>
  <si>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</si>
  <si>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</si>
  <si>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</si>
  <si>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</si>
  <si>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</si>
  <si>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</si>
  <si>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</si>
  <si>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</si>
  <si>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</si>
  <si>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</si>
  <si>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</si>
  <si>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</si>
  <si>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</si>
  <si>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</si>
  <si>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</si>
  <si>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</si>
  <si>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</si>
  <si>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</si>
  <si>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</si>
  <si>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</si>
  <si>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</si>
  <si>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</si>
  <si>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</si>
  <si>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</si>
  <si>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</si>
  <si>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</si>
  <si>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</si>
  <si>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</si>
  <si>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</si>
  <si>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</si>
  <si>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</si>
  <si>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</si>
  <si>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</si>
  <si>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</si>
  <si>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</si>
  <si>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</si>
  <si>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</si>
  <si>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</si>
  <si>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</si>
  <si>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</si>
  <si>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</si>
  <si>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</si>
  <si>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</si>
  <si>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</si>
  <si>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</si>
  <si>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</si>
  <si>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</si>
  <si>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</si>
  <si>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</si>
  <si>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</si>
  <si>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</si>
  <si>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</si>
  <si>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</si>
  <si>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</si>
  <si>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</si>
  <si>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</si>
  <si>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</si>
  <si>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</si>
  <si>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</si>
  <si>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</si>
  <si>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</si>
  <si>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</si>
  <si>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</si>
  <si>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</si>
  <si>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</si>
  <si>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</si>
  <si>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</si>
  <si>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</si>
  <si>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</si>
  <si>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</si>
  <si>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</si>
  <si>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</si>
  <si>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</si>
  <si>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</si>
  <si>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</si>
  <si>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</si>
  <si>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</si>
  <si>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</si>
  <si>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</si>
  <si>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</si>
  <si>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</si>
  <si>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</si>
  <si>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</si>
  <si>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</si>
  <si>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</si>
  <si>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</si>
  <si>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</si>
  <si>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</si>
  <si>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</si>
  <si>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</si>
  <si>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</si>
  <si>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</si>
  <si>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</si>
  <si>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</si>
  <si>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</si>
  <si>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</si>
  <si>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</si>
  <si>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</si>
  <si>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</si>
  <si>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</si>
  <si>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</si>
  <si>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</si>
  <si>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</si>
  <si>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</si>
  <si>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</si>
  <si>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</si>
  <si>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</si>
  <si>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</si>
  <si>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</si>
  <si>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</si>
  <si>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</si>
  <si>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</si>
  <si>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</si>
  <si>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</si>
  <si>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</si>
  <si>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</si>
  <si>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</si>
  <si>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</si>
  <si>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</si>
  <si>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</si>
  <si>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</si>
  <si>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</si>
  <si>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</si>
  <si>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</si>
  <si>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</si>
  <si>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</si>
  <si>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</si>
  <si>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</si>
  <si>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</si>
  <si>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</si>
  <si>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</si>
  <si>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</si>
  <si>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</si>
  <si>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</si>
  <si>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</si>
  <si>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</si>
  <si>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</si>
  <si>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</si>
  <si>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</si>
  <si>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</si>
  <si>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</si>
  <si>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</si>
  <si>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</si>
  <si>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</si>
  <si>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</si>
  <si>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</si>
  <si>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</si>
  <si>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</si>
  <si>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</si>
  <si>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</si>
  <si>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</si>
  <si>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</si>
  <si>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</si>
  <si>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</si>
  <si>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</si>
  <si>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</si>
  <si>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</si>
  <si>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</si>
  <si>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</si>
  <si>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</si>
  <si>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</si>
  <si>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</si>
  <si>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</si>
  <si>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</si>
  <si>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</si>
  <si>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</si>
  <si>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</si>
  <si>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</si>
  <si>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</si>
  <si>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</si>
  <si>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</si>
  <si>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</si>
  <si>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</si>
  <si>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</si>
  <si>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</si>
  <si>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</si>
  <si>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</si>
  <si>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</si>
  <si>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</si>
  <si>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</si>
  <si>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</si>
  <si>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</si>
  <si>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</si>
  <si>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</si>
  <si>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</si>
  <si>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</si>
  <si>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</si>
  <si>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</si>
  <si>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</si>
  <si>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</si>
  <si>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</si>
  <si>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</si>
  <si>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</si>
  <si>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</si>
  <si>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</si>
  <si>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</si>
  <si>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</si>
  <si>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</si>
  <si>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</si>
  <si>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</si>
  <si>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</si>
  <si>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</si>
  <si>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</si>
  <si>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</si>
  <si>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</si>
  <si>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</si>
  <si>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</si>
  <si>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</si>
  <si>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</si>
  <si>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</si>
  <si>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</si>
  <si>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</si>
  <si>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</si>
  <si>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</si>
  <si>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</si>
  <si>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</si>
  <si>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</si>
  <si>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</si>
  <si>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</si>
  <si>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</si>
  <si>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</si>
  <si>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</si>
  <si>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</si>
  <si>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</si>
  <si>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</si>
  <si>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</si>
  <si>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</si>
  <si>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</si>
  <si>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</si>
  <si>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</si>
  <si>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</si>
  <si>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</si>
  <si>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</si>
  <si>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</si>
  <si>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</si>
  <si>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</si>
  <si>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</si>
  <si>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</si>
  <si>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</si>
  <si>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</si>
  <si>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</si>
  <si>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</si>
  <si>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</si>
  <si>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</si>
  <si>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</si>
  <si>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</si>
  <si>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</si>
  <si>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</si>
  <si>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</si>
  <si>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</si>
  <si>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</si>
  <si>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</si>
  <si>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</si>
  <si>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</si>
  <si>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</si>
  <si>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</si>
  <si>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</si>
  <si>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</si>
  <si>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</si>
  <si>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</si>
  <si>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</si>
  <si>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</si>
  <si>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</si>
  <si>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</si>
  <si>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</si>
  <si>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</si>
  <si>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</si>
  <si>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</si>
  <si>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</si>
  <si>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</si>
  <si>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</si>
  <si>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</si>
  <si>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</si>
  <si>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</si>
  <si>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</si>
  <si>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</si>
  <si>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</si>
  <si>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</si>
  <si>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</si>
  <si>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</si>
  <si>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</si>
  <si>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</si>
  <si>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</si>
  <si>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</si>
  <si>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</si>
  <si>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</si>
  <si>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</si>
  <si>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</si>
  <si>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</si>
  <si>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</si>
  <si>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</si>
  <si>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</si>
  <si>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</si>
  <si>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</si>
  <si>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</si>
  <si>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</si>
  <si>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</si>
  <si>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</si>
  <si>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</si>
  <si>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</si>
  <si>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</si>
  <si>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</si>
  <si>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</si>
  <si>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</si>
  <si>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</si>
  <si>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</si>
  <si>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</si>
  <si>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</si>
  <si>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</si>
  <si>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</si>
  <si>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</si>
  <si>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</si>
  <si>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</si>
  <si>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</si>
  <si>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</si>
  <si>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</si>
  <si>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</si>
  <si>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</si>
  <si>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</si>
  <si>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</si>
  <si>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</si>
  <si>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</si>
  <si>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</si>
  <si>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</si>
  <si>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</si>
  <si>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</si>
  <si>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</si>
  <si>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</si>
  <si>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</si>
  <si>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</si>
  <si>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</si>
  <si>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</si>
  <si>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</si>
  <si>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</si>
  <si>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</si>
  <si>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</si>
  <si>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</si>
  <si>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</si>
  <si>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</si>
  <si>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</si>
  <si>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</si>
  <si>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</si>
  <si>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</si>
  <si>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</si>
  <si>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</si>
  <si>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</si>
  <si>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</si>
  <si>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</si>
  <si>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</si>
  <si>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</si>
  <si>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</si>
  <si>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</si>
  <si>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</si>
  <si>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</si>
  <si>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</si>
  <si>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</si>
  <si>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</si>
  <si>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</si>
  <si>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</si>
  <si>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</si>
  <si>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</si>
  <si>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</si>
  <si>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</si>
  <si>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</si>
  <si>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</si>
  <si>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</si>
  <si>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</si>
  <si>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</si>
  <si>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</si>
  <si>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</si>
  <si>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</si>
  <si>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</si>
  <si>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</si>
  <si>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</si>
  <si>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</si>
  <si>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</si>
  <si>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</si>
  <si>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</si>
  <si>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</si>
  <si>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</si>
  <si>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</si>
  <si>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</si>
  <si>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</si>
  <si>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</si>
  <si>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</si>
  <si>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</si>
  <si>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</si>
  <si>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</si>
  <si>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</si>
  <si>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</si>
  <si>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</si>
  <si>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</si>
  <si>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</si>
  <si>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</si>
  <si>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</si>
  <si>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</si>
  <si>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</si>
  <si>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</si>
  <si>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</si>
  <si>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</si>
  <si>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</si>
  <si>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</si>
  <si>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</si>
  <si>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</si>
  <si>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</si>
  <si>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</si>
  <si>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</si>
  <si>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</si>
  <si>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</si>
  <si>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</si>
  <si>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</si>
  <si>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</si>
  <si>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</si>
  <si>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</si>
  <si>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</si>
  <si>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</si>
  <si>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</si>
  <si>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</si>
  <si>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</si>
  <si>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</si>
  <si>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</si>
  <si>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</si>
  <si>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</si>
  <si>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</si>
  <si>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</si>
  <si>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</si>
  <si>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</si>
  <si>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</si>
  <si>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</si>
  <si>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</si>
  <si>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</si>
  <si>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</si>
  <si>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</si>
  <si>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</si>
  <si>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PEMI-BAKER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</si>
</sst>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428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911615.29</v>
      </c>
      <c r="G9" s="18">
        <v>-48816.76</v>
      </c>
      <c r="H9" s="18">
        <v>-83684.34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3309.39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187498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30060.13</v>
      </c>
      <c r="G13" s="18">
        <v>62583.45</v>
      </c>
      <c r="H13" s="18">
        <v>93291.83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7381.48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1136554.8999999999</v>
      </c>
      <c r="G19" s="41">
        <f>SUM(G9:G18)</f>
        <v>13766.689999999995</v>
      </c>
      <c r="H19" s="41">
        <f>SUM(H9:H18)</f>
        <v>9607.4900000000052</v>
      </c>
      <c r="I19" s="41">
        <f>SUM(I9:I18)</f>
        <v>0</v>
      </c>
      <c r="J19" s="41">
        <f>SUM(J9:J18)</f>
        <v>3309.39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231005.39</v>
      </c>
      <c r="G24" s="18"/>
      <c r="H24" s="18">
        <v>9607.49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3934.24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234939.63</v>
      </c>
      <c r="G32" s="41">
        <f>SUM(G22:G31)</f>
        <v>0</v>
      </c>
      <c r="H32" s="41">
        <f>SUM(H22:H31)</f>
        <v>9607.49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13766.69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737946.27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3309.39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163669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901615.27</v>
      </c>
      <c r="G51" s="41">
        <f>SUM(G35:G50)</f>
        <v>13766.69</v>
      </c>
      <c r="H51" s="41">
        <f>SUM(H35:H50)</f>
        <v>0</v>
      </c>
      <c r="I51" s="41">
        <f>SUM(I35:I50)</f>
        <v>0</v>
      </c>
      <c r="J51" s="41">
        <f>SUM(J35:J50)</f>
        <v>3309.39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1136554.8999999999</v>
      </c>
      <c r="G52" s="41">
        <f>G51+G32</f>
        <v>13766.69</v>
      </c>
      <c r="H52" s="41">
        <f>H51+H32</f>
        <v>9607.49</v>
      </c>
      <c r="I52" s="41">
        <f>I51+I32</f>
        <v>0</v>
      </c>
      <c r="J52" s="41">
        <f>J51+J32</f>
        <v>3309.39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6928577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6928577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9475.7800000000007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398879.55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40899.43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24640.93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473895.69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1168.94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194202.05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17437.59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71367.350000000006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89973.88</v>
      </c>
      <c r="G111" s="41">
        <f>SUM(G96:G110)</f>
        <v>194202.05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7492446.5700000003</v>
      </c>
      <c r="G112" s="41">
        <f>G60+G111</f>
        <v>194202.05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2398687.56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1820227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4218914.5600000005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53556.78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63037.2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2906.22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116593.98</v>
      </c>
      <c r="G136" s="41">
        <f>SUM(G123:G135)</f>
        <v>2906.22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4335508.540000001</v>
      </c>
      <c r="G140" s="41">
        <f>G121+SUM(G136:G137)</f>
        <v>2906.22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365835.7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52285.9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77208.820000000007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3449.22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119138.59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103689.64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18176.11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103689.64</v>
      </c>
      <c r="G162" s="41">
        <f>SUM(G150:G161)</f>
        <v>119138.59</v>
      </c>
      <c r="H162" s="41">
        <f>SUM(H150:H161)</f>
        <v>516955.75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103689.64</v>
      </c>
      <c r="G169" s="41">
        <f>G147+G162+SUM(G163:G168)</f>
        <v>119138.59</v>
      </c>
      <c r="H169" s="41">
        <f>H147+H162+SUM(H163:H168)</f>
        <v>516955.75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11931644.750000002</v>
      </c>
      <c r="G193" s="47">
        <f>G112+G140+G169+G192</f>
        <v>316246.86</v>
      </c>
      <c r="H193" s="47">
        <f>H112+H140+H169+H192</f>
        <v>516955.75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2761287.66</v>
      </c>
      <c r="G233" s="18">
        <v>1259596.21</v>
      </c>
      <c r="H233" s="18">
        <v>93561.91</v>
      </c>
      <c r="I233" s="18">
        <v>117804.73</v>
      </c>
      <c r="J233" s="18">
        <v>138941.21</v>
      </c>
      <c r="K233" s="18">
        <v>858</v>
      </c>
      <c r="L233" s="19">
        <f>SUM(F233:K233)</f>
        <v>4372049.7200000007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804692.49</v>
      </c>
      <c r="G234" s="18">
        <v>461633.9</v>
      </c>
      <c r="H234" s="18">
        <v>481489.66</v>
      </c>
      <c r="I234" s="18">
        <v>9004.1</v>
      </c>
      <c r="J234" s="18">
        <v>9289.48</v>
      </c>
      <c r="K234" s="18">
        <v>225</v>
      </c>
      <c r="L234" s="19">
        <f>SUM(F234:K234)</f>
        <v>1766334.6300000001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255909.5</v>
      </c>
      <c r="G235" s="18">
        <v>125656.47</v>
      </c>
      <c r="H235" s="18">
        <v>9158.59</v>
      </c>
      <c r="I235" s="18">
        <v>27163.03</v>
      </c>
      <c r="J235" s="18">
        <v>5759.16</v>
      </c>
      <c r="K235" s="18">
        <v>1184</v>
      </c>
      <c r="L235" s="19">
        <f>SUM(F235:K235)</f>
        <v>424830.74999999994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241448.25</v>
      </c>
      <c r="G236" s="18">
        <v>42947.13</v>
      </c>
      <c r="H236" s="18">
        <v>101742.34</v>
      </c>
      <c r="I236" s="18">
        <v>57685.59</v>
      </c>
      <c r="J236" s="18">
        <v>20490.919999999998</v>
      </c>
      <c r="K236" s="18">
        <v>9370</v>
      </c>
      <c r="L236" s="19">
        <f>SUM(F236:K236)</f>
        <v>473684.22999999992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545972.64</v>
      </c>
      <c r="G238" s="18">
        <v>264545.27</v>
      </c>
      <c r="H238" s="18">
        <v>169111.93</v>
      </c>
      <c r="I238" s="18">
        <v>8333.9699999999993</v>
      </c>
      <c r="J238" s="18">
        <v>367.67</v>
      </c>
      <c r="K238" s="18">
        <v>1203</v>
      </c>
      <c r="L238" s="19">
        <f t="shared" ref="L238:L244" si="4">SUM(F238:K238)</f>
        <v>989534.4800000001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154299.71</v>
      </c>
      <c r="G239" s="18">
        <v>158241.06</v>
      </c>
      <c r="H239" s="18">
        <v>595.13</v>
      </c>
      <c r="I239" s="18">
        <v>31595.56</v>
      </c>
      <c r="J239" s="18">
        <v>1875.83</v>
      </c>
      <c r="K239" s="18"/>
      <c r="L239" s="19">
        <f t="shared" si="4"/>
        <v>346607.29000000004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248758.23</v>
      </c>
      <c r="G240" s="18">
        <v>139118.03</v>
      </c>
      <c r="H240" s="18">
        <v>418973.43</v>
      </c>
      <c r="I240" s="18">
        <v>5441.01</v>
      </c>
      <c r="J240" s="18"/>
      <c r="K240" s="18">
        <v>4159.9799999999996</v>
      </c>
      <c r="L240" s="19">
        <f t="shared" si="4"/>
        <v>816450.67999999993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320880.28000000003</v>
      </c>
      <c r="G241" s="18">
        <v>199813.77</v>
      </c>
      <c r="H241" s="18">
        <v>13718.49</v>
      </c>
      <c r="I241" s="18">
        <v>1620.97</v>
      </c>
      <c r="J241" s="18"/>
      <c r="K241" s="18">
        <v>10705.89</v>
      </c>
      <c r="L241" s="19">
        <f t="shared" si="4"/>
        <v>546739.4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1449.61</v>
      </c>
      <c r="I242" s="18"/>
      <c r="J242" s="18"/>
      <c r="K242" s="18"/>
      <c r="L242" s="19">
        <f t="shared" si="4"/>
        <v>1449.61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421621.45</v>
      </c>
      <c r="G243" s="18">
        <v>203264.64000000001</v>
      </c>
      <c r="H243" s="18">
        <v>328013.14</v>
      </c>
      <c r="I243" s="18">
        <v>473472.92</v>
      </c>
      <c r="J243" s="18">
        <v>30825.77</v>
      </c>
      <c r="K243" s="18"/>
      <c r="L243" s="19">
        <f t="shared" si="4"/>
        <v>1457197.9200000002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527286.47</v>
      </c>
      <c r="I244" s="18"/>
      <c r="J244" s="18"/>
      <c r="K244" s="18"/>
      <c r="L244" s="19">
        <f t="shared" si="4"/>
        <v>527286.47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5754870.2100000009</v>
      </c>
      <c r="G247" s="41">
        <f t="shared" si="5"/>
        <v>2854816.4799999995</v>
      </c>
      <c r="H247" s="41">
        <f t="shared" si="5"/>
        <v>2145100.7000000002</v>
      </c>
      <c r="I247" s="41">
        <f t="shared" si="5"/>
        <v>732121.88</v>
      </c>
      <c r="J247" s="41">
        <f t="shared" si="5"/>
        <v>207550.04</v>
      </c>
      <c r="K247" s="41">
        <f t="shared" si="5"/>
        <v>27705.87</v>
      </c>
      <c r="L247" s="41">
        <f t="shared" si="5"/>
        <v>11722165.180000002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153116.07</v>
      </c>
      <c r="I255" s="18"/>
      <c r="J255" s="18"/>
      <c r="K255" s="18"/>
      <c r="L255" s="19">
        <f t="shared" si="6"/>
        <v>153116.07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153116.07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153116.07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5754870.2100000009</v>
      </c>
      <c r="G257" s="41">
        <f t="shared" si="8"/>
        <v>2854816.4799999995</v>
      </c>
      <c r="H257" s="41">
        <f t="shared" si="8"/>
        <v>2298216.77</v>
      </c>
      <c r="I257" s="41">
        <f t="shared" si="8"/>
        <v>732121.88</v>
      </c>
      <c r="J257" s="41">
        <f t="shared" si="8"/>
        <v>207550.04</v>
      </c>
      <c r="K257" s="41">
        <f t="shared" si="8"/>
        <v>27705.87</v>
      </c>
      <c r="L257" s="41">
        <f t="shared" si="8"/>
        <v>11875281.250000002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5754870.2100000009</v>
      </c>
      <c r="G271" s="42">
        <f t="shared" si="11"/>
        <v>2854816.4799999995</v>
      </c>
      <c r="H271" s="42">
        <f t="shared" si="11"/>
        <v>2298216.77</v>
      </c>
      <c r="I271" s="42">
        <f t="shared" si="11"/>
        <v>732121.88</v>
      </c>
      <c r="J271" s="42">
        <f t="shared" si="11"/>
        <v>207550.04</v>
      </c>
      <c r="K271" s="42">
        <f t="shared" si="11"/>
        <v>27705.87</v>
      </c>
      <c r="L271" s="42">
        <f t="shared" si="11"/>
        <v>11875281.250000002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102619.32</v>
      </c>
      <c r="G314" s="18">
        <v>45113.46</v>
      </c>
      <c r="H314" s="18"/>
      <c r="I314" s="18">
        <v>3243.94</v>
      </c>
      <c r="J314" s="18">
        <v>13564.18</v>
      </c>
      <c r="K314" s="18"/>
      <c r="L314" s="19">
        <f>SUM(F314:K314)</f>
        <v>164540.9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9326.33</v>
      </c>
      <c r="G315" s="18">
        <v>1274.9000000000001</v>
      </c>
      <c r="H315" s="18"/>
      <c r="I315" s="18">
        <v>1328.06</v>
      </c>
      <c r="J315" s="18"/>
      <c r="K315" s="18"/>
      <c r="L315" s="19">
        <f>SUM(F315:K315)</f>
        <v>11929.289999999999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13000</v>
      </c>
      <c r="G316" s="18">
        <v>3020</v>
      </c>
      <c r="H316" s="18">
        <v>10569.37</v>
      </c>
      <c r="I316" s="18">
        <v>2394.0500000000002</v>
      </c>
      <c r="J316" s="18">
        <v>37165.94</v>
      </c>
      <c r="K316" s="18">
        <v>8648.66</v>
      </c>
      <c r="L316" s="19">
        <f>SUM(F316:K316)</f>
        <v>74798.02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84850.14</v>
      </c>
      <c r="G317" s="18">
        <v>16778.509999999998</v>
      </c>
      <c r="H317" s="18"/>
      <c r="I317" s="18">
        <v>10983.24</v>
      </c>
      <c r="J317" s="18">
        <v>10911.71</v>
      </c>
      <c r="K317" s="18">
        <v>5497.34</v>
      </c>
      <c r="L317" s="19">
        <f>SUM(F317:K317)</f>
        <v>129020.94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36486.44</v>
      </c>
      <c r="G319" s="18">
        <v>17106.84</v>
      </c>
      <c r="H319" s="18"/>
      <c r="I319" s="18">
        <v>2507.4499999999998</v>
      </c>
      <c r="J319" s="18"/>
      <c r="K319" s="18"/>
      <c r="L319" s="19">
        <f t="shared" ref="L319:L325" si="16">SUM(F319:K319)</f>
        <v>56100.729999999996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>
        <v>500</v>
      </c>
      <c r="H320" s="18">
        <v>16211.01</v>
      </c>
      <c r="I320" s="18"/>
      <c r="J320" s="18"/>
      <c r="K320" s="18"/>
      <c r="L320" s="19">
        <f t="shared" si="16"/>
        <v>16711.010000000002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14477.54</v>
      </c>
      <c r="G321" s="18"/>
      <c r="H321" s="18"/>
      <c r="I321" s="18"/>
      <c r="J321" s="18"/>
      <c r="K321" s="18"/>
      <c r="L321" s="19">
        <f t="shared" si="16"/>
        <v>14477.54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17852.79</v>
      </c>
      <c r="L323" s="19">
        <f t="shared" si="16"/>
        <v>17852.79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9899.2000000000007</v>
      </c>
      <c r="I325" s="18"/>
      <c r="J325" s="18"/>
      <c r="K325" s="18"/>
      <c r="L325" s="19">
        <f t="shared" si="16"/>
        <v>9899.2000000000007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260759.77000000002</v>
      </c>
      <c r="G328" s="42">
        <f t="shared" si="17"/>
        <v>83793.709999999992</v>
      </c>
      <c r="H328" s="42">
        <f t="shared" si="17"/>
        <v>36679.58</v>
      </c>
      <c r="I328" s="42">
        <f t="shared" si="17"/>
        <v>20456.740000000002</v>
      </c>
      <c r="J328" s="42">
        <f t="shared" si="17"/>
        <v>61641.83</v>
      </c>
      <c r="K328" s="42">
        <f t="shared" si="17"/>
        <v>31998.79</v>
      </c>
      <c r="L328" s="41">
        <f t="shared" si="17"/>
        <v>495330.42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2309.5</v>
      </c>
      <c r="G333" s="18">
        <v>224</v>
      </c>
      <c r="H333" s="18"/>
      <c r="I333" s="18">
        <v>915.72</v>
      </c>
      <c r="J333" s="18"/>
      <c r="K333" s="18"/>
      <c r="L333" s="19">
        <f t="shared" si="18"/>
        <v>3449.2200000000003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>
        <v>18176.11</v>
      </c>
      <c r="K336" s="18"/>
      <c r="L336" s="19">
        <f t="shared" si="18"/>
        <v>18176.11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2309.5</v>
      </c>
      <c r="G337" s="41">
        <f t="shared" si="19"/>
        <v>224</v>
      </c>
      <c r="H337" s="41">
        <f t="shared" si="19"/>
        <v>0</v>
      </c>
      <c r="I337" s="41">
        <f t="shared" si="19"/>
        <v>915.72</v>
      </c>
      <c r="J337" s="41">
        <f t="shared" si="19"/>
        <v>18176.11</v>
      </c>
      <c r="K337" s="41">
        <f t="shared" si="19"/>
        <v>0</v>
      </c>
      <c r="L337" s="41">
        <f t="shared" si="18"/>
        <v>21625.33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263069.27</v>
      </c>
      <c r="G338" s="41">
        <f t="shared" si="20"/>
        <v>84017.709999999992</v>
      </c>
      <c r="H338" s="41">
        <f t="shared" si="20"/>
        <v>36679.58</v>
      </c>
      <c r="I338" s="41">
        <f t="shared" si="20"/>
        <v>21372.460000000003</v>
      </c>
      <c r="J338" s="41">
        <f t="shared" si="20"/>
        <v>79817.94</v>
      </c>
      <c r="K338" s="41">
        <f t="shared" si="20"/>
        <v>31998.79</v>
      </c>
      <c r="L338" s="41">
        <f t="shared" si="20"/>
        <v>516955.75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263069.27</v>
      </c>
      <c r="G352" s="41">
        <f>G338</f>
        <v>84017.709999999992</v>
      </c>
      <c r="H352" s="41">
        <f>H338</f>
        <v>36679.58</v>
      </c>
      <c r="I352" s="41">
        <f>I338</f>
        <v>21372.460000000003</v>
      </c>
      <c r="J352" s="41">
        <f>J338</f>
        <v>79817.94</v>
      </c>
      <c r="K352" s="47">
        <f>K338+K351</f>
        <v>31998.79</v>
      </c>
      <c r="L352" s="41">
        <f>L338+L351</f>
        <v>516955.75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315576</v>
      </c>
      <c r="I360" s="18"/>
      <c r="J360" s="18"/>
      <c r="K360" s="18"/>
      <c r="L360" s="19">
        <f>SUM(F360:K360)</f>
        <v>315576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315576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315576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3309.39</v>
      </c>
      <c r="G440" s="18"/>
      <c r="H440" s="18"/>
      <c r="I440" s="56">
        <f t="shared" si="33"/>
        <v>3309.39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3309.39</v>
      </c>
      <c r="G446" s="13">
        <f>SUM(G439:G445)</f>
        <v>0</v>
      </c>
      <c r="H446" s="13">
        <f>SUM(H439:H445)</f>
        <v>0</v>
      </c>
      <c r="I446" s="13">
        <f>SUM(I439:I445)</f>
        <v>3309.39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3309.39</v>
      </c>
      <c r="G459" s="18"/>
      <c r="H459" s="18"/>
      <c r="I459" s="56">
        <f t="shared" si="34"/>
        <v>3309.39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3309.39</v>
      </c>
      <c r="G460" s="83">
        <f>SUM(G454:G459)</f>
        <v>0</v>
      </c>
      <c r="H460" s="83">
        <f>SUM(H454:H459)</f>
        <v>0</v>
      </c>
      <c r="I460" s="83">
        <f>SUM(I454:I459)</f>
        <v>3309.39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3309.39</v>
      </c>
      <c r="G461" s="42">
        <f>G452+G460</f>
        <v>0</v>
      </c>
      <c r="H461" s="42">
        <f>H452+H460</f>
        <v>0</v>
      </c>
      <c r="I461" s="42">
        <f>I452+I460</f>
        <v>3309.39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845251.77</v>
      </c>
      <c r="G465" s="18">
        <v>13095.83</v>
      </c>
      <c r="H465" s="18">
        <v>0</v>
      </c>
      <c r="I465" s="18"/>
      <c r="J465" s="18">
        <v>3309.39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11931644.75</v>
      </c>
      <c r="G468" s="18">
        <v>316246.86</v>
      </c>
      <c r="H468" s="18">
        <v>516955.75</v>
      </c>
      <c r="I468" s="18"/>
      <c r="J468" s="18">
        <v>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11931644.75</v>
      </c>
      <c r="G470" s="53">
        <f>SUM(G468:G469)</f>
        <v>316246.86</v>
      </c>
      <c r="H470" s="53">
        <f>SUM(H468:H469)</f>
        <v>516955.75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11875281.25</v>
      </c>
      <c r="G472" s="18">
        <v>315576</v>
      </c>
      <c r="H472" s="18">
        <v>516955.75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11875281.25</v>
      </c>
      <c r="G474" s="53">
        <f>SUM(G472:G473)</f>
        <v>315576</v>
      </c>
      <c r="H474" s="53">
        <f>SUM(H472:H473)</f>
        <v>516955.75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901615.26999999955</v>
      </c>
      <c r="G476" s="53">
        <f>(G465+G470)- G474</f>
        <v>13766.690000000002</v>
      </c>
      <c r="H476" s="53">
        <f>(H465+H470)- H474</f>
        <v>0</v>
      </c>
      <c r="I476" s="53">
        <f>(I465+I470)- I474</f>
        <v>0</v>
      </c>
      <c r="J476" s="53">
        <f>(J465+J470)- J474</f>
        <v>3309.39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682772.42</v>
      </c>
      <c r="G523" s="18">
        <v>397740.71</v>
      </c>
      <c r="H523" s="18">
        <v>481489.66</v>
      </c>
      <c r="I523" s="18">
        <v>10332.16</v>
      </c>
      <c r="J523" s="18">
        <v>9289.48</v>
      </c>
      <c r="K523" s="18">
        <v>225</v>
      </c>
      <c r="L523" s="88">
        <f>SUM(F523:K523)</f>
        <v>1581849.43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682772.42</v>
      </c>
      <c r="G524" s="108">
        <f t="shared" ref="G524:L524" si="36">SUM(G521:G523)</f>
        <v>397740.71</v>
      </c>
      <c r="H524" s="108">
        <f t="shared" si="36"/>
        <v>481489.66</v>
      </c>
      <c r="I524" s="108">
        <f t="shared" si="36"/>
        <v>10332.16</v>
      </c>
      <c r="J524" s="108">
        <f t="shared" si="36"/>
        <v>9289.48</v>
      </c>
      <c r="K524" s="108">
        <f t="shared" si="36"/>
        <v>225</v>
      </c>
      <c r="L524" s="89">
        <f t="shared" si="36"/>
        <v>1581849.43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156210.21</v>
      </c>
      <c r="G528" s="18">
        <v>68920.72</v>
      </c>
      <c r="H528" s="18">
        <v>50184.33</v>
      </c>
      <c r="I528" s="18">
        <v>3348.6</v>
      </c>
      <c r="J528" s="18"/>
      <c r="K528" s="18">
        <v>639</v>
      </c>
      <c r="L528" s="88">
        <f>SUM(F528:K528)</f>
        <v>279302.86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156210.21</v>
      </c>
      <c r="G529" s="89">
        <f t="shared" ref="G529:L529" si="37">SUM(G526:G528)</f>
        <v>68920.72</v>
      </c>
      <c r="H529" s="89">
        <f t="shared" si="37"/>
        <v>50184.33</v>
      </c>
      <c r="I529" s="89">
        <f t="shared" si="37"/>
        <v>3348.6</v>
      </c>
      <c r="J529" s="89">
        <f t="shared" si="37"/>
        <v>0</v>
      </c>
      <c r="K529" s="89">
        <f t="shared" si="37"/>
        <v>639</v>
      </c>
      <c r="L529" s="89">
        <f t="shared" si="37"/>
        <v>279302.86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164837.68</v>
      </c>
      <c r="G533" s="18">
        <v>78994.67</v>
      </c>
      <c r="H533" s="18">
        <v>635.77</v>
      </c>
      <c r="I533" s="18"/>
      <c r="J533" s="18"/>
      <c r="K533" s="18"/>
      <c r="L533" s="88">
        <f>SUM(F533:K533)</f>
        <v>244468.11999999997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164837.68</v>
      </c>
      <c r="G534" s="89">
        <f t="shared" ref="G534:L534" si="38">SUM(G531:G533)</f>
        <v>78994.67</v>
      </c>
      <c r="H534" s="89">
        <f t="shared" si="38"/>
        <v>635.77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244468.11999999997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115746.63</v>
      </c>
      <c r="I543" s="18"/>
      <c r="J543" s="18"/>
      <c r="K543" s="18"/>
      <c r="L543" s="88">
        <f>SUM(F543:K543)</f>
        <v>115746.63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115746.63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115746.63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1003820.31</v>
      </c>
      <c r="G545" s="89">
        <f t="shared" ref="G545:L545" si="41">G524+G529+G534+G539+G544</f>
        <v>545656.10000000009</v>
      </c>
      <c r="H545" s="89">
        <f t="shared" si="41"/>
        <v>648056.39</v>
      </c>
      <c r="I545" s="89">
        <f t="shared" si="41"/>
        <v>13680.76</v>
      </c>
      <c r="J545" s="89">
        <f t="shared" si="41"/>
        <v>9289.48</v>
      </c>
      <c r="K545" s="89">
        <f t="shared" si="41"/>
        <v>864</v>
      </c>
      <c r="L545" s="89">
        <f t="shared" si="41"/>
        <v>2221367.04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1581849.43</v>
      </c>
      <c r="G551" s="87">
        <f>L528</f>
        <v>279302.86</v>
      </c>
      <c r="H551" s="87">
        <f>L533</f>
        <v>244468.11999999997</v>
      </c>
      <c r="I551" s="87">
        <f>L538</f>
        <v>0</v>
      </c>
      <c r="J551" s="87">
        <f>L543</f>
        <v>115746.63</v>
      </c>
      <c r="K551" s="87">
        <f>SUM(F551:J551)</f>
        <v>2221367.04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1581849.43</v>
      </c>
      <c r="G552" s="89">
        <f t="shared" si="42"/>
        <v>279302.86</v>
      </c>
      <c r="H552" s="89">
        <f t="shared" si="42"/>
        <v>244468.11999999997</v>
      </c>
      <c r="I552" s="89">
        <f t="shared" si="42"/>
        <v>0</v>
      </c>
      <c r="J552" s="89">
        <f t="shared" si="42"/>
        <v>115746.63</v>
      </c>
      <c r="K552" s="89">
        <f t="shared" si="42"/>
        <v>2221367.04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230923.14</v>
      </c>
      <c r="I579" s="87">
        <f t="shared" si="47"/>
        <v>230923.14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172087.25</v>
      </c>
      <c r="I583" s="87">
        <f t="shared" si="47"/>
        <v>172087.25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317775.53000000003</v>
      </c>
      <c r="K591" s="104">
        <f t="shared" ref="K591:K597" si="48">SUM(H591:J591)</f>
        <v>317775.53000000003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115510.63</v>
      </c>
      <c r="K592" s="104">
        <f t="shared" si="48"/>
        <v>115510.63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78000</v>
      </c>
      <c r="K594" s="104">
        <f t="shared" si="48"/>
        <v>78000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16000.31</v>
      </c>
      <c r="K595" s="104">
        <f t="shared" si="48"/>
        <v>16000.31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527286.47000000009</v>
      </c>
      <c r="K598" s="108">
        <f>SUM(K591:K597)</f>
        <v>527286.47000000009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v>269191.87</v>
      </c>
      <c r="K604" s="104">
        <f>SUM(H604:J604)</f>
        <v>269191.87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269191.87</v>
      </c>
      <c r="K605" s="108">
        <f>SUM(K602:K604)</f>
        <v>269191.87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85735.14</v>
      </c>
      <c r="G613" s="18">
        <v>9762.98</v>
      </c>
      <c r="H613" s="18"/>
      <c r="I613" s="18">
        <v>8869.39</v>
      </c>
      <c r="J613" s="18">
        <v>10911.71</v>
      </c>
      <c r="K613" s="18">
        <v>5497.34</v>
      </c>
      <c r="L613" s="88">
        <f>SUM(F613:K613)</f>
        <v>120776.56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85735.14</v>
      </c>
      <c r="G614" s="108">
        <f t="shared" si="49"/>
        <v>9762.98</v>
      </c>
      <c r="H614" s="108">
        <f t="shared" si="49"/>
        <v>0</v>
      </c>
      <c r="I614" s="108">
        <f t="shared" si="49"/>
        <v>8869.39</v>
      </c>
      <c r="J614" s="108">
        <f t="shared" si="49"/>
        <v>10911.71</v>
      </c>
      <c r="K614" s="108">
        <f t="shared" si="49"/>
        <v>5497.34</v>
      </c>
      <c r="L614" s="89">
        <f t="shared" si="49"/>
        <v>120776.56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1136554.8999999999</v>
      </c>
      <c r="H617" s="109">
        <f>SUM(F52)</f>
        <v>1136554.8999999999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13766.689999999995</v>
      </c>
      <c r="H618" s="109">
        <f>SUM(G52)</f>
        <v>13766.69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9607.4900000000052</v>
      </c>
      <c r="H619" s="109">
        <f>SUM(H52)</f>
        <v>9607.49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3309.39</v>
      </c>
      <c r="H621" s="109">
        <f>SUM(J52)</f>
        <v>3309.39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901615.27</v>
      </c>
      <c r="H622" s="109">
        <f>F476</f>
        <v>901615.26999999955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13766.69</v>
      </c>
      <c r="H623" s="109">
        <f>G476</f>
        <v>13766.690000000002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3309.39</v>
      </c>
      <c r="H626" s="109">
        <f>J476</f>
        <v>3309.39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11931644.750000002</v>
      </c>
      <c r="H627" s="104">
        <f>SUM(F468)</f>
        <v>11931644.75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316246.86</v>
      </c>
      <c r="H628" s="104">
        <f>SUM(G468)</f>
        <v>316246.86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516955.75</v>
      </c>
      <c r="H629" s="104">
        <f>SUM(H468)</f>
        <v>516955.75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11875281.250000002</v>
      </c>
      <c r="H632" s="104">
        <f>SUM(F472)</f>
        <v>11875281.25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516955.75</v>
      </c>
      <c r="H633" s="104">
        <f>SUM(H472)</f>
        <v>516955.75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315576</v>
      </c>
      <c r="H635" s="104">
        <f>SUM(G472)</f>
        <v>315576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3309.39</v>
      </c>
      <c r="H639" s="104">
        <f>SUM(F461)</f>
        <v>3309.39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3309.39</v>
      </c>
      <c r="H642" s="104">
        <f>SUM(I461)</f>
        <v>3309.39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527286.47000000009</v>
      </c>
      <c r="H647" s="104">
        <f>L208+L226+L244</f>
        <v>527286.47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269191.87</v>
      </c>
      <c r="H648" s="104">
        <f>(J257+J338)-(J255+J336)</f>
        <v>269191.87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527286.47</v>
      </c>
      <c r="H651" s="104">
        <f>J598</f>
        <v>527286.47000000009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12533071.600000001</v>
      </c>
      <c r="I660" s="19">
        <f>SUM(F660:H660)</f>
        <v>12533071.600000001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194202.05</v>
      </c>
      <c r="I661" s="19">
        <f>SUM(F661:H661)</f>
        <v>194202.05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537185.66999999993</v>
      </c>
      <c r="I662" s="19">
        <f>SUM(F662:H662)</f>
        <v>537185.66999999993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792978.82000000007</v>
      </c>
      <c r="I663" s="19">
        <f>SUM(F663:H663)</f>
        <v>792978.82000000007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11008705.060000002</v>
      </c>
      <c r="I664" s="19">
        <f>I660-SUM(I661:I663)</f>
        <v>11008705.060000002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663.42</v>
      </c>
      <c r="I665" s="19">
        <f>SUM(F665:H665)</f>
        <v>663.42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16593.87</v>
      </c>
      <c r="I667" s="19">
        <f>ROUND(I664/I665,2)</f>
        <v>16593.87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5.94</v>
      </c>
      <c r="I670" s="19">
        <f>SUM(F670:H670)</f>
        <v>5.94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16446.61</v>
      </c>
      <c r="I672" s="19">
        <f>ROUND((I664+I669)/(I665+I670),2)</f>
        <v>16446.61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PEMI-BAKER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2863906.98</v>
      </c>
      <c r="C9" s="229">
        <f>'DOE25'!G197+'DOE25'!G215+'DOE25'!G233+'DOE25'!G276+'DOE25'!G295+'DOE25'!G314</f>
        <v>1304709.67</v>
      </c>
    </row>
    <row r="10" spans="1:3" x14ac:dyDescent="0.2">
      <c r="A10" t="s">
        <v>779</v>
      </c>
      <c r="B10" s="240">
        <v>2717701.06</v>
      </c>
      <c r="C10" s="240">
        <v>1218215.6399999999</v>
      </c>
    </row>
    <row r="11" spans="1:3" x14ac:dyDescent="0.2">
      <c r="A11" t="s">
        <v>780</v>
      </c>
      <c r="B11" s="240">
        <v>116446.72</v>
      </c>
      <c r="C11" s="240">
        <v>84166.44</v>
      </c>
    </row>
    <row r="12" spans="1:3" x14ac:dyDescent="0.2">
      <c r="A12" t="s">
        <v>781</v>
      </c>
      <c r="B12" s="240">
        <v>29759.200000000001</v>
      </c>
      <c r="C12" s="240">
        <v>2327.59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2863906.9800000004</v>
      </c>
      <c r="C13" s="231">
        <f>SUM(C10:C12)</f>
        <v>1304709.67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814018.82</v>
      </c>
      <c r="C18" s="229">
        <f>'DOE25'!G198+'DOE25'!G216+'DOE25'!G234+'DOE25'!G277+'DOE25'!G296+'DOE25'!G315</f>
        <v>462908.80000000005</v>
      </c>
    </row>
    <row r="19" spans="1:3" x14ac:dyDescent="0.2">
      <c r="A19" t="s">
        <v>779</v>
      </c>
      <c r="B19" s="240">
        <v>424724</v>
      </c>
      <c r="C19" s="240">
        <v>209899.86</v>
      </c>
    </row>
    <row r="20" spans="1:3" x14ac:dyDescent="0.2">
      <c r="A20" t="s">
        <v>780</v>
      </c>
      <c r="B20" s="240">
        <v>317460.93</v>
      </c>
      <c r="C20" s="240">
        <v>215111.61</v>
      </c>
    </row>
    <row r="21" spans="1:3" x14ac:dyDescent="0.2">
      <c r="A21" t="s">
        <v>781</v>
      </c>
      <c r="B21" s="240">
        <v>71833.89</v>
      </c>
      <c r="C21" s="240">
        <v>37897.33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814018.82</v>
      </c>
      <c r="C22" s="231">
        <f>SUM(C19:C21)</f>
        <v>462908.8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268909.5</v>
      </c>
      <c r="C27" s="234">
        <f>'DOE25'!G199+'DOE25'!G217+'DOE25'!G235+'DOE25'!G278+'DOE25'!G297+'DOE25'!G316</f>
        <v>128676.47</v>
      </c>
    </row>
    <row r="28" spans="1:3" x14ac:dyDescent="0.2">
      <c r="A28" t="s">
        <v>779</v>
      </c>
      <c r="B28" s="240">
        <v>255909.5</v>
      </c>
      <c r="C28" s="240">
        <v>125656.47</v>
      </c>
    </row>
    <row r="29" spans="1:3" x14ac:dyDescent="0.2">
      <c r="A29" t="s">
        <v>780</v>
      </c>
      <c r="B29" s="240">
        <v>11000</v>
      </c>
      <c r="C29" s="240">
        <v>2860</v>
      </c>
    </row>
    <row r="30" spans="1:3" x14ac:dyDescent="0.2">
      <c r="A30" t="s">
        <v>781</v>
      </c>
      <c r="B30" s="240">
        <v>2000</v>
      </c>
      <c r="C30" s="240">
        <v>160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268909.5</v>
      </c>
      <c r="C31" s="231">
        <f>SUM(C28:C30)</f>
        <v>128676.47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326298.39</v>
      </c>
      <c r="C36" s="235">
        <f>'DOE25'!G200+'DOE25'!G218+'DOE25'!G236+'DOE25'!G279+'DOE25'!G298+'DOE25'!G317</f>
        <v>59725.64</v>
      </c>
    </row>
    <row r="37" spans="1:3" x14ac:dyDescent="0.2">
      <c r="A37" t="s">
        <v>779</v>
      </c>
      <c r="B37" s="240">
        <v>326298.39</v>
      </c>
      <c r="C37" s="240">
        <v>59725.64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326298.39</v>
      </c>
      <c r="C40" s="231">
        <f>SUM(C37:C39)</f>
        <v>59725.64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PEMI-BAKER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7036899.3300000001</v>
      </c>
      <c r="D5" s="20">
        <f>SUM('DOE25'!L197:L200)+SUM('DOE25'!L215:L218)+SUM('DOE25'!L233:L236)-F5-G5</f>
        <v>6850781.5600000005</v>
      </c>
      <c r="E5" s="243"/>
      <c r="F5" s="255">
        <f>SUM('DOE25'!J197:J200)+SUM('DOE25'!J215:J218)+SUM('DOE25'!J233:J236)</f>
        <v>174480.77000000002</v>
      </c>
      <c r="G5" s="53">
        <f>SUM('DOE25'!K197:K200)+SUM('DOE25'!K215:K218)+SUM('DOE25'!K233:K236)</f>
        <v>11637</v>
      </c>
      <c r="H5" s="259"/>
    </row>
    <row r="6" spans="1:9" x14ac:dyDescent="0.2">
      <c r="A6" s="32">
        <v>2100</v>
      </c>
      <c r="B6" t="s">
        <v>801</v>
      </c>
      <c r="C6" s="245">
        <f t="shared" si="0"/>
        <v>989534.4800000001</v>
      </c>
      <c r="D6" s="20">
        <f>'DOE25'!L202+'DOE25'!L220+'DOE25'!L238-F6-G6</f>
        <v>987963.81</v>
      </c>
      <c r="E6" s="243"/>
      <c r="F6" s="255">
        <f>'DOE25'!J202+'DOE25'!J220+'DOE25'!J238</f>
        <v>367.67</v>
      </c>
      <c r="G6" s="53">
        <f>'DOE25'!K202+'DOE25'!K220+'DOE25'!K238</f>
        <v>1203</v>
      </c>
      <c r="H6" s="259"/>
    </row>
    <row r="7" spans="1:9" x14ac:dyDescent="0.2">
      <c r="A7" s="32">
        <v>2200</v>
      </c>
      <c r="B7" t="s">
        <v>834</v>
      </c>
      <c r="C7" s="245">
        <f t="shared" si="0"/>
        <v>346607.29000000004</v>
      </c>
      <c r="D7" s="20">
        <f>'DOE25'!L203+'DOE25'!L221+'DOE25'!L239-F7-G7</f>
        <v>344731.46</v>
      </c>
      <c r="E7" s="243"/>
      <c r="F7" s="255">
        <f>'DOE25'!J203+'DOE25'!J221+'DOE25'!J239</f>
        <v>1875.83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620431.64</v>
      </c>
      <c r="D8" s="243"/>
      <c r="E8" s="20">
        <f>'DOE25'!L204+'DOE25'!L222+'DOE25'!L240-F8-G8-D9-D11</f>
        <v>616271.66</v>
      </c>
      <c r="F8" s="255">
        <f>'DOE25'!J204+'DOE25'!J222+'DOE25'!J240</f>
        <v>0</v>
      </c>
      <c r="G8" s="53">
        <f>'DOE25'!K204+'DOE25'!K222+'DOE25'!K240</f>
        <v>4159.9799999999996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41552.33</v>
      </c>
      <c r="D9" s="244">
        <v>41552.33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12000</v>
      </c>
      <c r="D10" s="243"/>
      <c r="E10" s="244">
        <v>12000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154466.71</v>
      </c>
      <c r="D11" s="244">
        <v>154466.71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546739.4</v>
      </c>
      <c r="D12" s="20">
        <f>'DOE25'!L205+'DOE25'!L223+'DOE25'!L241-F12-G12</f>
        <v>536033.51</v>
      </c>
      <c r="E12" s="243"/>
      <c r="F12" s="255">
        <f>'DOE25'!J205+'DOE25'!J223+'DOE25'!J241</f>
        <v>0</v>
      </c>
      <c r="G12" s="53">
        <f>'DOE25'!K205+'DOE25'!K223+'DOE25'!K241</f>
        <v>10705.89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1449.61</v>
      </c>
      <c r="D13" s="243"/>
      <c r="E13" s="20">
        <f>'DOE25'!L206+'DOE25'!L224+'DOE25'!L242-F13-G13</f>
        <v>1449.61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1457197.9200000002</v>
      </c>
      <c r="D14" s="20">
        <f>'DOE25'!L207+'DOE25'!L225+'DOE25'!L243-F14-G14</f>
        <v>1426372.1500000001</v>
      </c>
      <c r="E14" s="243"/>
      <c r="F14" s="255">
        <f>'DOE25'!J207+'DOE25'!J225+'DOE25'!J243</f>
        <v>30825.77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527286.47</v>
      </c>
      <c r="D15" s="20">
        <f>'DOE25'!L208+'DOE25'!L226+'DOE25'!L244-F15-G15</f>
        <v>527286.47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171292.18</v>
      </c>
      <c r="D22" s="243"/>
      <c r="E22" s="243"/>
      <c r="F22" s="255">
        <f>'DOE25'!L255+'DOE25'!L336</f>
        <v>171292.18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315576</v>
      </c>
      <c r="D29" s="20">
        <f>'DOE25'!L358+'DOE25'!L359+'DOE25'!L360-'DOE25'!I367-F29-G29</f>
        <v>315576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498779.63999999996</v>
      </c>
      <c r="D31" s="20">
        <f>'DOE25'!L290+'DOE25'!L309+'DOE25'!L328+'DOE25'!L333+'DOE25'!L334+'DOE25'!L335-F31-G31</f>
        <v>405139.01999999996</v>
      </c>
      <c r="E31" s="243"/>
      <c r="F31" s="255">
        <f>'DOE25'!J290+'DOE25'!J309+'DOE25'!J328+'DOE25'!J333+'DOE25'!J334+'DOE25'!J335</f>
        <v>61641.83</v>
      </c>
      <c r="G31" s="53">
        <f>'DOE25'!K290+'DOE25'!K309+'DOE25'!K328+'DOE25'!K333+'DOE25'!K334+'DOE25'!K335</f>
        <v>31998.79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11589903.020000001</v>
      </c>
      <c r="E33" s="246">
        <f>SUM(E5:E31)</f>
        <v>629721.27</v>
      </c>
      <c r="F33" s="246">
        <f>SUM(F5:F31)</f>
        <v>440484.05</v>
      </c>
      <c r="G33" s="246">
        <f>SUM(G5:G31)</f>
        <v>59704.66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629721.27</v>
      </c>
      <c r="E35" s="249"/>
    </row>
    <row r="36" spans="2:8" ht="12" thickTop="1" x14ac:dyDescent="0.2">
      <c r="B36" t="s">
        <v>815</v>
      </c>
      <c r="D36" s="20">
        <f>D33</f>
        <v>11589903.020000001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PEMI-BAKER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911615.29</v>
      </c>
      <c r="D8" s="95">
        <f>'DOE25'!G9</f>
        <v>-48816.76</v>
      </c>
      <c r="E8" s="95">
        <f>'DOE25'!H9</f>
        <v>-83684.34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3309.39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187498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30060.13</v>
      </c>
      <c r="D12" s="95">
        <f>'DOE25'!G13</f>
        <v>62583.45</v>
      </c>
      <c r="E12" s="95">
        <f>'DOE25'!H13</f>
        <v>93291.83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7381.48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1136554.8999999999</v>
      </c>
      <c r="D18" s="41">
        <f>SUM(D8:D17)</f>
        <v>13766.689999999995</v>
      </c>
      <c r="E18" s="41">
        <f>SUM(E8:E17)</f>
        <v>9607.4900000000052</v>
      </c>
      <c r="F18" s="41">
        <f>SUM(F8:F17)</f>
        <v>0</v>
      </c>
      <c r="G18" s="41">
        <f>SUM(G8:G17)</f>
        <v>3309.39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231005.39</v>
      </c>
      <c r="D23" s="95">
        <f>'DOE25'!G24</f>
        <v>0</v>
      </c>
      <c r="E23" s="95">
        <f>'DOE25'!H24</f>
        <v>9607.49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3934.24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234939.63</v>
      </c>
      <c r="D31" s="41">
        <f>SUM(D21:D30)</f>
        <v>0</v>
      </c>
      <c r="E31" s="41">
        <f>SUM(E21:E30)</f>
        <v>9607.49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13766.69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737946.27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3309.39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163669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901615.27</v>
      </c>
      <c r="D50" s="41">
        <f>SUM(D34:D49)</f>
        <v>13766.69</v>
      </c>
      <c r="E50" s="41">
        <f>SUM(E34:E49)</f>
        <v>0</v>
      </c>
      <c r="F50" s="41">
        <f>SUM(F34:F49)</f>
        <v>0</v>
      </c>
      <c r="G50" s="41">
        <f>SUM(G34:G49)</f>
        <v>3309.39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1136554.8999999999</v>
      </c>
      <c r="D51" s="41">
        <f>D50+D31</f>
        <v>13766.69</v>
      </c>
      <c r="E51" s="41">
        <f>E50+E31</f>
        <v>9607.49</v>
      </c>
      <c r="F51" s="41">
        <f>F50+F31</f>
        <v>0</v>
      </c>
      <c r="G51" s="41">
        <f>G50+G31</f>
        <v>3309.39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6928577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473895.69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1168.94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194202.05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88804.94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563869.57000000007</v>
      </c>
      <c r="D62" s="130">
        <f>SUM(D57:D61)</f>
        <v>194202.05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7492446.5700000003</v>
      </c>
      <c r="D63" s="22">
        <f>D56+D62</f>
        <v>194202.05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2398687.56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1820227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4218914.5600000005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53556.78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63037.2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2906.22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116593.98</v>
      </c>
      <c r="D78" s="130">
        <f>SUM(D72:D77)</f>
        <v>2906.22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4335508.540000001</v>
      </c>
      <c r="D81" s="130">
        <f>SUM(D79:D80)+D78+D70</f>
        <v>2906.22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103689.64</v>
      </c>
      <c r="D88" s="95">
        <f>SUM('DOE25'!G153:G161)</f>
        <v>119138.59</v>
      </c>
      <c r="E88" s="95">
        <f>SUM('DOE25'!H153:H161)</f>
        <v>516955.75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103689.64</v>
      </c>
      <c r="D91" s="131">
        <f>SUM(D85:D90)</f>
        <v>119138.59</v>
      </c>
      <c r="E91" s="131">
        <f>SUM(E85:E90)</f>
        <v>516955.75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11931644.750000002</v>
      </c>
      <c r="D104" s="86">
        <f>D63+D81+D91+D103</f>
        <v>316246.86</v>
      </c>
      <c r="E104" s="86">
        <f>E63+E81+E91+E103</f>
        <v>516955.75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4372049.7200000007</v>
      </c>
      <c r="D109" s="24" t="s">
        <v>289</v>
      </c>
      <c r="E109" s="95">
        <f>('DOE25'!L276)+('DOE25'!L295)+('DOE25'!L314)</f>
        <v>164540.9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1766334.6300000001</v>
      </c>
      <c r="D110" s="24" t="s">
        <v>289</v>
      </c>
      <c r="E110" s="95">
        <f>('DOE25'!L277)+('DOE25'!L296)+('DOE25'!L315)</f>
        <v>11929.289999999999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424830.74999999994</v>
      </c>
      <c r="D111" s="24" t="s">
        <v>289</v>
      </c>
      <c r="E111" s="95">
        <f>('DOE25'!L278)+('DOE25'!L297)+('DOE25'!L316)</f>
        <v>74798.02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473684.22999999992</v>
      </c>
      <c r="D112" s="24" t="s">
        <v>289</v>
      </c>
      <c r="E112" s="95">
        <f>+('DOE25'!L279)+('DOE25'!L298)+('DOE25'!L317)</f>
        <v>129020.94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3449.2200000000003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7036899.3300000001</v>
      </c>
      <c r="D115" s="86">
        <f>SUM(D109:D114)</f>
        <v>0</v>
      </c>
      <c r="E115" s="86">
        <f>SUM(E109:E114)</f>
        <v>383738.37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989534.4800000001</v>
      </c>
      <c r="D118" s="24" t="s">
        <v>289</v>
      </c>
      <c r="E118" s="95">
        <f>+('DOE25'!L281)+('DOE25'!L300)+('DOE25'!L319)</f>
        <v>56100.729999999996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346607.29000000004</v>
      </c>
      <c r="D119" s="24" t="s">
        <v>289</v>
      </c>
      <c r="E119" s="95">
        <f>+('DOE25'!L282)+('DOE25'!L301)+('DOE25'!L320)</f>
        <v>16711.010000000002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816450.67999999993</v>
      </c>
      <c r="D120" s="24" t="s">
        <v>289</v>
      </c>
      <c r="E120" s="95">
        <f>+('DOE25'!L283)+('DOE25'!L302)+('DOE25'!L321)</f>
        <v>14477.54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546739.4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1449.61</v>
      </c>
      <c r="D122" s="24" t="s">
        <v>289</v>
      </c>
      <c r="E122" s="95">
        <f>+('DOE25'!L285)+('DOE25'!L304)+('DOE25'!L323)</f>
        <v>17852.79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1457197.9200000002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527286.47</v>
      </c>
      <c r="D124" s="24" t="s">
        <v>289</v>
      </c>
      <c r="E124" s="95">
        <f>+('DOE25'!L287)+('DOE25'!L306)+('DOE25'!L325)</f>
        <v>9899.2000000000007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315576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4685265.8499999996</v>
      </c>
      <c r="D128" s="86">
        <f>SUM(D118:D127)</f>
        <v>315576</v>
      </c>
      <c r="E128" s="86">
        <f>SUM(E118:E127)</f>
        <v>115041.27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153116.07</v>
      </c>
      <c r="D130" s="24" t="s">
        <v>289</v>
      </c>
      <c r="E130" s="129">
        <f>'DOE25'!L336</f>
        <v>18176.11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153116.07</v>
      </c>
      <c r="D144" s="141">
        <f>SUM(D130:D143)</f>
        <v>0</v>
      </c>
      <c r="E144" s="141">
        <f>SUM(E130:E143)</f>
        <v>18176.11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11875281.25</v>
      </c>
      <c r="D145" s="86">
        <f>(D115+D128+D144)</f>
        <v>315576</v>
      </c>
      <c r="E145" s="86">
        <f>(E115+E128+E144)</f>
        <v>516955.75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PEMI-BAKER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16447</v>
      </c>
    </row>
    <row r="7" spans="1:4" x14ac:dyDescent="0.2">
      <c r="B7" t="s">
        <v>705</v>
      </c>
      <c r="C7" s="179">
        <f>IF('DOE25'!I665+'DOE25'!I670=0,0,ROUND('DOE25'!I672,0))</f>
        <v>16447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4536591</v>
      </c>
      <c r="D10" s="182">
        <f>ROUND((C10/$C$28)*100,1)</f>
        <v>36.799999999999997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1778264</v>
      </c>
      <c r="D11" s="182">
        <f>ROUND((C11/$C$28)*100,1)</f>
        <v>14.4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499629</v>
      </c>
      <c r="D12" s="182">
        <f>ROUND((C12/$C$28)*100,1)</f>
        <v>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602705</v>
      </c>
      <c r="D13" s="182">
        <f>ROUND((C13/$C$28)*100,1)</f>
        <v>4.9000000000000004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1045635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363318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830928</v>
      </c>
      <c r="D17" s="182">
        <f t="shared" si="0"/>
        <v>6.7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546739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19302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1457198</v>
      </c>
      <c r="D20" s="182">
        <f t="shared" si="0"/>
        <v>11.8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537186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3449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121373.95000000001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12342317.949999999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171292</v>
      </c>
    </row>
    <row r="30" spans="1:4" x14ac:dyDescent="0.2">
      <c r="B30" s="187" t="s">
        <v>729</v>
      </c>
      <c r="C30" s="180">
        <f>SUM(C28:C29)</f>
        <v>12513609.949999999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6928577</v>
      </c>
      <c r="D35" s="182">
        <f t="shared" ref="D35:D40" si="1">ROUND((C35/$C$41)*100,1)</f>
        <v>55.1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563869.5700000003</v>
      </c>
      <c r="D36" s="182">
        <f t="shared" si="1"/>
        <v>4.5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4218915</v>
      </c>
      <c r="D37" s="182">
        <f t="shared" si="1"/>
        <v>33.6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119500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739784</v>
      </c>
      <c r="D39" s="182">
        <f t="shared" si="1"/>
        <v>5.9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12570645.57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PEMI-BAKER REGIONAL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2015-08-28T12:59:57Z</cp:lastPrinted>
  <dcterms:created xsi:type="dcterms:W3CDTF">1997-12-04T19:04:30Z</dcterms:created>
  <dcterms:modified xsi:type="dcterms:W3CDTF">2015-11-30T13:48:06Z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