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5" i="1" l="1"/>
  <c r="F24" i="1"/>
  <c r="F44" i="1"/>
  <c r="F472" i="1"/>
  <c r="H197" i="1" l="1"/>
  <c r="H202" i="1"/>
  <c r="H198" i="1"/>
  <c r="H472" i="1"/>
  <c r="F468" i="1"/>
  <c r="H154" i="1"/>
  <c r="H155" i="1"/>
  <c r="G276" i="1"/>
  <c r="G197" i="1"/>
  <c r="F9" i="1"/>
  <c r="F276" i="1" l="1"/>
  <c r="F197" i="1"/>
  <c r="G198" i="1"/>
  <c r="H358" i="1" l="1"/>
  <c r="H240" i="1"/>
  <c r="H207" i="1"/>
  <c r="H204" i="1"/>
  <c r="H20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I470" i="1"/>
  <c r="I476" i="1" s="1"/>
  <c r="H625" i="1" s="1"/>
  <c r="J470" i="1"/>
  <c r="G474" i="1"/>
  <c r="H474" i="1"/>
  <c r="H476" i="1" s="1"/>
  <c r="H624" i="1" s="1"/>
  <c r="J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3" i="1"/>
  <c r="G634" i="1"/>
  <c r="H634" i="1"/>
  <c r="H635" i="1"/>
  <c r="H636" i="1"/>
  <c r="H637" i="1"/>
  <c r="H638" i="1"/>
  <c r="G639" i="1"/>
  <c r="H639" i="1"/>
  <c r="J639" i="1" s="1"/>
  <c r="G640" i="1"/>
  <c r="G641" i="1"/>
  <c r="H641" i="1"/>
  <c r="J641" i="1" s="1"/>
  <c r="G643" i="1"/>
  <c r="H643" i="1"/>
  <c r="J643" i="1" s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K257" i="1"/>
  <c r="L328" i="1"/>
  <c r="A31" i="12"/>
  <c r="D62" i="2"/>
  <c r="D63" i="2" s="1"/>
  <c r="D18" i="2"/>
  <c r="C91" i="2"/>
  <c r="F78" i="2"/>
  <c r="C78" i="2"/>
  <c r="D50" i="2"/>
  <c r="G161" i="2"/>
  <c r="G62" i="2"/>
  <c r="D29" i="13"/>
  <c r="C29" i="13" s="1"/>
  <c r="D19" i="13"/>
  <c r="C19" i="13" s="1"/>
  <c r="E78" i="2"/>
  <c r="H112" i="1"/>
  <c r="L419" i="1"/>
  <c r="I169" i="1"/>
  <c r="G552" i="1"/>
  <c r="J140" i="1"/>
  <c r="K550" i="1"/>
  <c r="G22" i="2"/>
  <c r="J552" i="1"/>
  <c r="H140" i="1"/>
  <c r="F22" i="13"/>
  <c r="C22" i="13" s="1"/>
  <c r="J634" i="1"/>
  <c r="H338" i="1"/>
  <c r="H352" i="1" s="1"/>
  <c r="F338" i="1"/>
  <c r="F352" i="1" s="1"/>
  <c r="H192" i="1"/>
  <c r="F552" i="1"/>
  <c r="L570" i="1"/>
  <c r="I571" i="1"/>
  <c r="G36" i="2"/>
  <c r="H545" i="1"/>
  <c r="I460" i="1" l="1"/>
  <c r="I461" i="1" s="1"/>
  <c r="H642" i="1" s="1"/>
  <c r="J640" i="1"/>
  <c r="L534" i="1"/>
  <c r="H552" i="1"/>
  <c r="K271" i="1"/>
  <c r="J645" i="1"/>
  <c r="H52" i="1"/>
  <c r="H619" i="1" s="1"/>
  <c r="J623" i="1"/>
  <c r="J617" i="1"/>
  <c r="C131" i="2"/>
  <c r="C18" i="2"/>
  <c r="C70" i="2"/>
  <c r="L256" i="1"/>
  <c r="K598" i="1"/>
  <c r="G647" i="1" s="1"/>
  <c r="K551" i="1"/>
  <c r="G545" i="1"/>
  <c r="K549" i="1"/>
  <c r="L270" i="1"/>
  <c r="I257" i="1"/>
  <c r="I271" i="1" s="1"/>
  <c r="G257" i="1"/>
  <c r="G271" i="1" s="1"/>
  <c r="F257" i="1"/>
  <c r="F271" i="1" s="1"/>
  <c r="C12" i="10"/>
  <c r="H257" i="1"/>
  <c r="H271" i="1" s="1"/>
  <c r="L211" i="1"/>
  <c r="D5" i="13"/>
  <c r="C5" i="13" s="1"/>
  <c r="E128" i="2"/>
  <c r="C16" i="13"/>
  <c r="L257" i="1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81" i="2"/>
  <c r="H660" i="1"/>
  <c r="H664" i="1" s="1"/>
  <c r="H672" i="1" s="1"/>
  <c r="C6" i="10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J647" i="1" s="1"/>
  <c r="G625" i="1"/>
  <c r="J625" i="1" s="1"/>
  <c r="L614" i="1"/>
  <c r="L529" i="1"/>
  <c r="L545" i="1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H646" i="1" l="1"/>
  <c r="J646" i="1" s="1"/>
  <c r="G104" i="2"/>
  <c r="E104" i="2"/>
  <c r="C63" i="2"/>
  <c r="C104" i="2" s="1"/>
  <c r="K552" i="1"/>
  <c r="E145" i="2"/>
  <c r="L271" i="1"/>
  <c r="C128" i="2"/>
  <c r="C145" i="2" s="1"/>
  <c r="H667" i="1"/>
  <c r="F660" i="1"/>
  <c r="I660" i="1" s="1"/>
  <c r="I664" i="1" s="1"/>
  <c r="I672" i="1" s="1"/>
  <c r="C7" i="10" s="1"/>
  <c r="C25" i="13"/>
  <c r="H33" i="13"/>
  <c r="C28" i="10"/>
  <c r="D24" i="10" s="1"/>
  <c r="E33" i="13"/>
  <c r="D35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32" i="1" l="1"/>
  <c r="F664" i="1"/>
  <c r="F672" i="1" s="1"/>
  <c r="C4" i="10" s="1"/>
  <c r="D20" i="10"/>
  <c r="D17" i="10"/>
  <c r="D26" i="10"/>
  <c r="D27" i="10"/>
  <c r="D19" i="10"/>
  <c r="D18" i="10"/>
  <c r="C30" i="10"/>
  <c r="D10" i="10"/>
  <c r="D15" i="10"/>
  <c r="D23" i="10"/>
  <c r="D25" i="10"/>
  <c r="D16" i="10"/>
  <c r="D13" i="10"/>
  <c r="D11" i="10"/>
  <c r="D21" i="10"/>
  <c r="D22" i="10"/>
  <c r="D12" i="10"/>
  <c r="I667" i="1"/>
  <c r="C41" i="10"/>
  <c r="D38" i="10" s="1"/>
  <c r="F474" i="1" l="1"/>
  <c r="F476" i="1" s="1"/>
  <c r="H622" i="1" s="1"/>
  <c r="H632" i="1"/>
  <c r="J632" i="1" s="1"/>
  <c r="F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<sst xmlns="http://schemas.openxmlformats.org/spreadsheetml/2006/main" count="3954" uniqueCount="912">
  <si>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</si>
  <si>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</si>
  <si>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</si>
  <si>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</si>
  <si>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</si>
  <si>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</si>
  <si>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</si>
  <si>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</si>
  <si>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</si>
  <si>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</si>
  <si>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</si>
  <si>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</si>
  <si>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</si>
  <si>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</si>
  <si>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</si>
  <si>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</si>
  <si>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</si>
  <si>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</si>
  <si>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</si>
  <si>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</si>
  <si>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</si>
  <si>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</si>
  <si>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</si>
  <si>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</si>
  <si>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</si>
  <si>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</si>
  <si>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</si>
  <si>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</si>
  <si>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</si>
  <si>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</si>
  <si>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</si>
  <si>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</si>
  <si>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</si>
  <si>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</si>
  <si>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</si>
  <si>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</si>
  <si>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</si>
  <si>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</si>
  <si>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</si>
  <si>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</si>
  <si>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</si>
  <si>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</si>
  <si>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</si>
  <si>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</si>
  <si>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</si>
  <si>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</si>
  <si>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</si>
  <si>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</si>
  <si>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</si>
  <si>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</si>
  <si>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</si>
  <si>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</si>
  <si>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</si>
  <si>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</si>
  <si>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</si>
  <si>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</si>
  <si>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</si>
  <si>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</si>
  <si>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</si>
  <si>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</si>
  <si>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</si>
  <si>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</si>
  <si>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</si>
  <si>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</si>
  <si>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</si>
  <si>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</si>
  <si>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</si>
  <si>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</si>
  <si>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</si>
  <si>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</si>
  <si>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</si>
  <si>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</si>
  <si>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</si>
  <si>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</si>
  <si>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</si>
  <si>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</si>
  <si>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</si>
  <si>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</si>
  <si>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</si>
  <si>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</si>
  <si>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</si>
  <si>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</si>
  <si>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</si>
  <si>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</si>
  <si>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</si>
  <si>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</si>
  <si>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</si>
  <si>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</si>
  <si>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</si>
  <si>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</si>
  <si>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</si>
  <si>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</si>
  <si>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</si>
  <si>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</si>
  <si>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</si>
  <si>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</si>
  <si>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</si>
  <si>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</si>
  <si>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</si>
  <si>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</si>
  <si>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</si>
  <si>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</si>
  <si>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</si>
  <si>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</si>
  <si>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</si>
  <si>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</si>
  <si>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</si>
  <si>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</si>
  <si>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</si>
  <si>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</si>
  <si>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</si>
  <si>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</si>
  <si>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</si>
  <si>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</si>
  <si>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</si>
  <si>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</si>
  <si>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</si>
  <si>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</si>
  <si>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</si>
  <si>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</si>
  <si>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</si>
  <si>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</si>
  <si>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</si>
  <si>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</si>
  <si>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</si>
  <si>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</si>
  <si>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</si>
  <si>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</si>
  <si>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</si>
  <si>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</si>
  <si>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</si>
  <si>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</si>
  <si>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</si>
  <si>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</si>
  <si>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</si>
  <si>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</si>
  <si>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</si>
  <si>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</si>
  <si>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</si>
  <si>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</si>
  <si>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</si>
  <si>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</si>
  <si>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</si>
  <si>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</si>
  <si>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</si>
  <si>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</si>
  <si>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</si>
  <si>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</si>
  <si>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</si>
  <si>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</si>
  <si>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</si>
  <si>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</si>
  <si>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</si>
  <si>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</si>
  <si>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</si>
  <si>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</si>
  <si>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</si>
  <si>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</si>
  <si>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</si>
  <si>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</si>
  <si>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</si>
  <si>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</si>
  <si>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</si>
  <si>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</si>
  <si>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</si>
  <si>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</si>
  <si>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</si>
  <si>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</si>
  <si>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</si>
  <si>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</si>
  <si>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</si>
  <si>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</si>
  <si>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</si>
  <si>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</si>
  <si>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</si>
  <si>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</si>
  <si>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</si>
  <si>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</si>
  <si>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</si>
  <si>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</si>
  <si>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</si>
  <si>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</si>
  <si>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</si>
  <si>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</si>
  <si>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</si>
  <si>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</si>
  <si>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</si>
  <si>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</si>
  <si>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</si>
  <si>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</si>
  <si>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</si>
  <si>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</si>
  <si>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</si>
  <si>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</si>
  <si>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</si>
  <si>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</si>
  <si>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</si>
  <si>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</si>
  <si>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</si>
  <si>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</si>
  <si>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</si>
  <si>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</si>
  <si>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</si>
  <si>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</si>
  <si>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</si>
  <si>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</si>
  <si>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</si>
  <si>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</si>
  <si>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</si>
  <si>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</si>
  <si>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</si>
  <si>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</si>
  <si>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</si>
  <si>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</si>
  <si>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</si>
  <si>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</si>
  <si>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</si>
  <si>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</si>
  <si>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</si>
  <si>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</si>
  <si>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</si>
  <si>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</si>
  <si>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</si>
  <si>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</si>
  <si>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</si>
  <si>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</si>
  <si>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</si>
  <si>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</si>
  <si>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</si>
  <si>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</si>
  <si>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</si>
  <si>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</si>
  <si>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</si>
  <si>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</si>
  <si>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</si>
  <si>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</si>
  <si>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</si>
  <si>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</si>
  <si>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</si>
  <si>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</si>
  <si>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</si>
  <si>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</si>
  <si>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</si>
  <si>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</si>
  <si>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</si>
  <si>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</si>
  <si>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</si>
  <si>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</si>
  <si>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</si>
  <si>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</si>
  <si>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</si>
  <si>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</si>
  <si>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</si>
  <si>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</si>
  <si>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</si>
  <si>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</si>
  <si>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</si>
  <si>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</si>
  <si>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</si>
  <si>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</si>
  <si>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</si>
  <si>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</si>
  <si>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</si>
  <si>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</si>
  <si>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</si>
  <si>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</si>
  <si>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</si>
  <si>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</si>
  <si>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</si>
  <si>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</si>
  <si>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</si>
  <si>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</si>
  <si>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</si>
  <si>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</si>
  <si>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</si>
  <si>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</si>
  <si>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</si>
  <si>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</si>
  <si>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</si>
  <si>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</si>
  <si>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</si>
  <si>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</si>
  <si>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</si>
  <si>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</si>
  <si>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</si>
  <si>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</si>
  <si>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</si>
  <si>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</si>
  <si>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</si>
  <si>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</si>
  <si>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</si>
  <si>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</si>
  <si>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</si>
  <si>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</si>
  <si>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</si>
  <si>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</si>
  <si>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</si>
  <si>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</si>
  <si>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</si>
  <si>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</si>
  <si>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</si>
  <si>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</si>
  <si>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</si>
  <si>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</si>
  <si>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</si>
  <si>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</si>
  <si>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</si>
  <si>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</si>
  <si>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</si>
  <si>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</si>
  <si>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</si>
  <si>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</si>
  <si>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</si>
  <si>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</si>
  <si>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</si>
  <si>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</si>
  <si>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</si>
  <si>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</si>
  <si>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</si>
  <si>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</si>
  <si>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</si>
  <si>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</si>
  <si>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</si>
  <si>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</si>
  <si>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</si>
  <si>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</si>
  <si>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</si>
  <si>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</si>
  <si>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</si>
  <si>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</si>
  <si>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</si>
  <si>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</si>
  <si>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</si>
  <si>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</si>
  <si>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</si>
  <si>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</si>
  <si>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</si>
  <si>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</si>
  <si>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</si>
  <si>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</si>
  <si>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</si>
  <si>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</si>
  <si>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</si>
  <si>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</si>
  <si>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</si>
  <si>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</si>
  <si>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</si>
  <si>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</si>
  <si>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</si>
  <si>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</si>
  <si>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</si>
  <si>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</si>
  <si>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</si>
  <si>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</si>
  <si>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</si>
  <si>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</si>
  <si>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</si>
  <si>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</si>
  <si>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</si>
  <si>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</si>
  <si>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</si>
  <si>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</si>
  <si>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</si>
  <si>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</si>
  <si>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</si>
  <si>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</si>
  <si>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</si>
  <si>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</si>
  <si>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</si>
  <si>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</si>
  <si>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</si>
  <si>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</si>
  <si>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</si>
  <si>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</si>
  <si>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</si>
  <si>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</si>
  <si>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</si>
  <si>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</si>
  <si>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</si>
  <si>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</si>
  <si>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</si>
  <si>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</si>
  <si>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</si>
  <si>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</si>
  <si>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</si>
  <si>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</si>
  <si>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</si>
  <si>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</si>
  <si>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</si>
  <si>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</si>
  <si>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</si>
  <si>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</si>
  <si>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</si>
  <si>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</si>
  <si>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</si>
  <si>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</si>
  <si>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</si>
  <si>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</si>
  <si>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</si>
  <si>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</si>
  <si>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</si>
  <si>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</si>
  <si>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</si>
  <si>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</si>
  <si>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</si>
  <si>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</si>
  <si>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</si>
  <si>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</si>
  <si>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</si>
  <si>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</si>
  <si>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</si>
  <si>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</si>
  <si>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</si>
  <si>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</si>
  <si>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</si>
  <si>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</si>
  <si>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</si>
  <si>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</si>
  <si>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</si>
  <si>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</si>
  <si>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</si>
  <si>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</si>
  <si>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</si>
  <si>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</si>
  <si>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</si>
  <si>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</si>
  <si>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</si>
  <si>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</si>
  <si>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</si>
  <si>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</si>
  <si>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</si>
  <si>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</si>
  <si>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</si>
  <si>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</si>
  <si>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</si>
  <si>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</si>
  <si>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</si>
  <si>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</si>
  <si>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</si>
  <si>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</si>
  <si>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</si>
  <si>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</si>
  <si>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</si>
  <si>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</si>
  <si>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</si>
  <si>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</si>
  <si>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</si>
  <si>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</si>
  <si>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</si>
  <si>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</si>
  <si>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</si>
  <si>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</si>
  <si>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</si>
  <si>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</si>
  <si>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</si>
  <si>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</si>
  <si>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</si>
  <si>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</si>
  <si>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</si>
  <si>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</si>
  <si>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</si>
  <si>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</si>
  <si>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</si>
  <si>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</si>
  <si>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</si>
  <si>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</si>
  <si>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</si>
  <si>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</si>
  <si>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</si>
  <si>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</si>
  <si>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</si>
  <si>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</si>
  <si>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</si>
  <si>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</si>
  <si>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</si>
  <si>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</si>
  <si>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</si>
  <si>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</si>
  <si>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</si>
  <si>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</si>
  <si>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</si>
  <si>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</si>
  <si>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</si>
  <si>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</si>
  <si>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</si>
  <si>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</si>
  <si>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</si>
  <si>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</si>
  <si>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</si>
  <si>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</si>
  <si>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</si>
  <si>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</si>
  <si>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</si>
  <si>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</si>
  <si>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</si>
  <si>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</si>
  <si>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</si>
  <si>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</si>
  <si>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</si>
  <si>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</si>
  <si>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</si>
  <si>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</si>
  <si>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</si>
  <si>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</si>
  <si>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</si>
  <si>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</si>
  <si>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</si>
  <si>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</si>
  <si>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</si>
  <si>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</si>
  <si>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</si>
  <si>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</si>
  <si>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</si>
  <si>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</si>
  <si>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</si>
  <si>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</si>
  <si>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</si>
  <si>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</si>
  <si>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</si>
  <si>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</si>
  <si>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</si>
  <si>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</si>
  <si>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</si>
  <si>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</si>
  <si>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</si>
  <si>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</si>
  <si>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</si>
  <si>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</si>
  <si>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</si>
  <si>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</si>
  <si>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</si>
  <si>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</si>
  <si>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</si>
  <si>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</si>
  <si>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</si>
  <si>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</si>
  <si>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</si>
  <si>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</si>
  <si>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</si>
  <si>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</si>
  <si>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</si>
  <si>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</si>
  <si>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</si>
  <si>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</si>
  <si>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</si>
  <si>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</si>
  <si>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</si>
  <si>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</si>
  <si>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</si>
  <si>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</si>
  <si>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</si>
  <si>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</si>
  <si>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</si>
  <si>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</si>
  <si>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</si>
  <si>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</si>
  <si>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</si>
  <si>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</si>
  <si>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</si>
  <si>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</si>
  <si>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</si>
  <si>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</si>
  <si>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</si>
  <si>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</si>
  <si>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</si>
  <si>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</si>
  <si>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</si>
  <si>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</si>
  <si>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</si>
  <si>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</si>
  <si>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</si>
  <si>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</si>
  <si>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</si>
  <si>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</si>
  <si>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</si>
  <si>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</si>
  <si>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</si>
  <si>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</si>
  <si>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</si>
  <si>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</si>
  <si>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</si>
  <si>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</si>
  <si>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</si>
  <si>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</si>
  <si>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</si>
  <si>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</si>
  <si>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</si>
  <si>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</si>
  <si>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</si>
  <si>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</si>
  <si>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</si>
  <si>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</si>
  <si>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</si>
  <si>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</si>
  <si>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</si>
  <si>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</si>
  <si>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</si>
  <si>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</si>
  <si>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</si>
  <si>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</si>
  <si>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</si>
  <si>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</si>
  <si>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</si>
  <si>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</si>
  <si>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</si>
  <si>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</si>
  <si>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</si>
  <si>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</si>
  <si>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</si>
  <si>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</si>
  <si>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</si>
  <si>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</si>
  <si>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</si>
  <si>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</si>
  <si>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</si>
  <si>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</si>
  <si>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</si>
  <si>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</si>
  <si>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</si>
  <si>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</si>
  <si>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</si>
  <si>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</si>
  <si>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</si>
  <si>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</si>
  <si>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</si>
  <si>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</si>
  <si>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</si>
  <si>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</si>
  <si>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</si>
  <si>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</si>
  <si>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</si>
  <si>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</si>
  <si>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</si>
  <si>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</si>
  <si>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</si>
  <si>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</si>
  <si>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</si>
  <si>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</si>
  <si>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</si>
  <si>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</si>
  <si>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</si>
  <si>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</si>
  <si>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</si>
  <si>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</si>
  <si>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</si>
  <si>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</si>
  <si>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</si>
  <si>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</si>
  <si>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</si>
  <si>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</si>
  <si>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</si>
  <si>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</si>
  <si>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</si>
  <si>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</si>
  <si>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</si>
  <si>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</si>
  <si>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</si>
  <si>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</si>
  <si>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</si>
  <si>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</si>
  <si>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</si>
  <si>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</si>
  <si>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</si>
  <si>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</si>
  <si>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</si>
  <si>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</si>
  <si>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</si>
  <si>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</si>
  <si>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</si>
  <si>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</si>
  <si>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</si>
  <si>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</si>
  <si>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</si>
  <si>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</si>
  <si>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</si>
  <si>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</si>
  <si>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</si>
  <si>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</si>
  <si>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</si>
  <si>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</si>
  <si>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</si>
  <si>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</si>
  <si>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</si>
  <si>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</si>
  <si>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</si>
  <si>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</si>
  <si>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</si>
  <si>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</si>
  <si>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</si>
  <si>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</si>
  <si>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</si>
  <si>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</si>
  <si>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</si>
  <si>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</si>
  <si>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</si>
  <si>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</si>
  <si>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</si>
  <si>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</si>
  <si>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</si>
  <si>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</si>
  <si>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</si>
  <si>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</si>
  <si>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</si>
  <si>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</si>
  <si>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</si>
  <si>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</si>
  <si>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</si>
  <si>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</si>
  <si>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</si>
  <si>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</si>
  <si>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</si>
  <si>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</si>
  <si>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</si>
  <si>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</si>
  <si>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</si>
  <si>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</si>
  <si>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</si>
  <si>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</si>
  <si>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</si>
  <si>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</si>
  <si>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</si>
  <si>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</si>
  <si>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</si>
  <si>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</si>
  <si>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</si>
  <si>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</si>
  <si>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</si>
  <si>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</si>
  <si>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</si>
  <si>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</si>
  <si>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</si>
  <si>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</si>
  <si>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</si>
  <si>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</si>
  <si>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</si>
  <si>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</si>
  <si>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</si>
  <si>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</si>
  <si>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</si>
  <si>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</si>
  <si>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</si>
  <si>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</si>
  <si>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</si>
  <si>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</si>
  <si>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</si>
  <si>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</si>
  <si>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</si>
  <si>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</si>
  <si>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</si>
  <si>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</si>
  <si>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</si>
  <si>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</si>
  <si>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</si>
  <si>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</si>
  <si>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</si>
  <si>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</si>
  <si>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</si>
  <si>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</si>
  <si>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</si>
  <si>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</si>
  <si>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</si>
  <si>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</si>
  <si>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</si>
  <si>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</si>
  <si>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</si>
  <si>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</si>
  <si>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</si>
  <si>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</si>
  <si>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</si>
  <si>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</si>
  <si>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</si>
  <si>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</si>
  <si>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</si>
  <si>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</si>
  <si>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</si>
  <si>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</si>
  <si>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</si>
  <si>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</si>
  <si>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</si>
  <si>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</si>
  <si>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</si>
  <si>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</si>
  <si>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</si>
  <si>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</si>
  <si>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</si>
  <si>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</si>
  <si>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</si>
  <si>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</si>
  <si>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</si>
  <si>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</si>
  <si>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</si>
  <si>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</si>
  <si>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</si>
  <si>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</si>
  <si>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</si>
  <si>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</si>
  <si>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</si>
  <si>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</si>
  <si>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</si>
  <si>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</si>
  <si>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</si>
  <si>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</si>
  <si>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</si>
  <si>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</si>
  <si>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</si>
  <si>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</si>
  <si>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</si>
  <si>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</si>
  <si>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</si>
  <si>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</si>
  <si>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</si>
  <si>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</si>
  <si>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</si>
  <si>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</si>
  <si>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</si>
  <si>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</si>
  <si>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</si>
  <si>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</si>
  <si>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</si>
  <si>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</si>
  <si>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</si>
  <si>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</si>
  <si>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</si>
  <si>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</si>
  <si>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</si>
  <si>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</si>
  <si>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</si>
  <si>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</si>
  <si>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</si>
  <si>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</si>
  <si>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</si>
  <si>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</si>
  <si>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</si>
  <si>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</si>
  <si>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</si>
  <si>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</si>
  <si>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</si>
  <si>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</si>
  <si>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</si>
  <si>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</si>
  <si>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</si>
  <si>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</si>
  <si>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</si>
  <si>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</si>
  <si>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</si>
  <si>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</si>
  <si>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</si>
  <si>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</si>
  <si>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</si>
  <si>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</si>
  <si>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</si>
  <si>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</si>
  <si>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</si>
  <si>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</si>
  <si>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</si>
  <si>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</si>
  <si>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</si>
  <si>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</si>
  <si>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</si>
  <si>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</si>
  <si>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</si>
  <si>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</si>
  <si>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</si>
  <si>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</si>
  <si>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</si>
  <si>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</si>
  <si>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</si>
  <si>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</si>
  <si>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</si>
  <si>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</si>
  <si>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</si>
  <si>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</si>
  <si>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</si>
  <si>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</si>
  <si>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</si>
  <si>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</si>
  <si>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</si>
  <si>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</si>
  <si>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</si>
  <si>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</si>
  <si>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</si>
  <si>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</si>
  <si>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</si>
  <si>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</si>
  <si>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</si>
  <si>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</si>
  <si>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</si>
  <si>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</si>
  <si>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</si>
  <si>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</si>
  <si>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</si>
  <si>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</si>
  <si>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</si>
  <si>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</si>
  <si>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</si>
  <si>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</si>
  <si>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</si>
  <si>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</si>
  <si>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</si>
  <si>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</si>
  <si>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</si>
  <si>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</si>
  <si>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</si>
  <si>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</si>
  <si>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</si>
  <si>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</si>
  <si>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</si>
  <si>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</si>
  <si>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</si>
  <si>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</si>
  <si>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</si>
  <si>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PIERMONT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</si>
</sst>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435</v>
      </c>
      <c r="C2" s="21">
        <v>435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41551.76+100</f>
        <v>41651.760000000002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242021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15661.11</v>
      </c>
      <c r="G13" s="18">
        <v>745.68</v>
      </c>
      <c r="H13" s="18">
        <v>4118.32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4246.1899999999996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1736.5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63295.560000000005</v>
      </c>
      <c r="G19" s="41">
        <f>SUM(G9:G18)</f>
        <v>745.68</v>
      </c>
      <c r="H19" s="41">
        <f>SUM(H9:H18)</f>
        <v>4118.32</v>
      </c>
      <c r="I19" s="41">
        <f>SUM(I9:I18)</f>
        <v>0</v>
      </c>
      <c r="J19" s="41">
        <f>SUM(J9:J18)</f>
        <v>242021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127.87</v>
      </c>
      <c r="H22" s="18">
        <v>4118.32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53013.27+1641</f>
        <v>54654.27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54654.27</v>
      </c>
      <c r="G32" s="41">
        <f>SUM(G22:G31)</f>
        <v>127.87</v>
      </c>
      <c r="H32" s="41">
        <f>SUM(H22:H31)</f>
        <v>4118.32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8641.29-F48-F49</f>
        <v>6812.6100000000006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328.68</v>
      </c>
      <c r="G48" s="18">
        <v>617.80999999999995</v>
      </c>
      <c r="H48" s="18"/>
      <c r="I48" s="18"/>
      <c r="J48" s="13">
        <f>SUM(I459)</f>
        <v>242021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8641.2900000000009</v>
      </c>
      <c r="G51" s="41">
        <f>SUM(G35:G50)</f>
        <v>617.80999999999995</v>
      </c>
      <c r="H51" s="41">
        <f>SUM(H35:H50)</f>
        <v>0</v>
      </c>
      <c r="I51" s="41">
        <f>SUM(I35:I50)</f>
        <v>0</v>
      </c>
      <c r="J51" s="41">
        <f>SUM(J35:J50)</f>
        <v>242021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63295.56</v>
      </c>
      <c r="G52" s="41">
        <f>G51+G32</f>
        <v>745.68</v>
      </c>
      <c r="H52" s="41">
        <f>H51+H32</f>
        <v>4118.32</v>
      </c>
      <c r="I52" s="41">
        <f>I51+I32</f>
        <v>0</v>
      </c>
      <c r="J52" s="41">
        <f>J51+J32</f>
        <v>242021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1172150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1172150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9.8000000000000007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11039.73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163.74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1083.27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1256.81</v>
      </c>
      <c r="G111" s="41">
        <f>SUM(G96:G110)</f>
        <v>11039.73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1173406.81</v>
      </c>
      <c r="G112" s="41">
        <f>G60+G111</f>
        <v>11039.73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297977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250696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548673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1350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22135.279999999999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3495.2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1525.99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26980.48</v>
      </c>
      <c r="G136" s="41">
        <f>SUM(G123:G135)</f>
        <v>1525.99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575653.48</v>
      </c>
      <c r="G140" s="41">
        <f>G121+SUM(G136:G137)</f>
        <v>1525.99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2251.39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14133-630.13</f>
        <v>13502.87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5651.48-18.89</f>
        <v>5632.5899999999992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8318.7000000000007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48516.639999999999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48516.639999999999</v>
      </c>
      <c r="G162" s="41">
        <f>SUM(G150:G161)</f>
        <v>8318.7000000000007</v>
      </c>
      <c r="H162" s="41">
        <f>SUM(H150:H161)</f>
        <v>21386.85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1535.13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50051.77</v>
      </c>
      <c r="G169" s="41">
        <f>G147+G162+SUM(G163:G168)</f>
        <v>8318.7000000000007</v>
      </c>
      <c r="H169" s="41">
        <f>H147+H162+SUM(H163:H168)</f>
        <v>21386.85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25401.919999999998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25401.919999999998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60000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60000</v>
      </c>
      <c r="G192" s="41">
        <f>G183+SUM(G188:G191)</f>
        <v>25401.919999999998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1859112.06</v>
      </c>
      <c r="G193" s="47">
        <f>G112+G140+G169+G192</f>
        <v>46286.34</v>
      </c>
      <c r="H193" s="47">
        <f>H112+H140+H169+H192</f>
        <v>21386.85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384254.72+810.41+442.82</f>
        <v>385507.94999999995</v>
      </c>
      <c r="G197" s="18">
        <f>132563.46+18.89</f>
        <v>132582.35</v>
      </c>
      <c r="H197" s="18">
        <f>29288.16+575.22+373.03</f>
        <v>30236.41</v>
      </c>
      <c r="I197" s="18">
        <v>10870.01</v>
      </c>
      <c r="J197" s="18">
        <v>13474.39</v>
      </c>
      <c r="K197" s="18">
        <v>837.05</v>
      </c>
      <c r="L197" s="19">
        <f>SUM(F197:K197)</f>
        <v>573508.16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41234.32</v>
      </c>
      <c r="G198" s="18">
        <f>17339.27</f>
        <v>17339.27</v>
      </c>
      <c r="H198" s="18">
        <f>40+227338.06</f>
        <v>227378.06</v>
      </c>
      <c r="I198" s="18">
        <v>4547.91</v>
      </c>
      <c r="J198" s="18">
        <v>0</v>
      </c>
      <c r="K198" s="18"/>
      <c r="L198" s="19">
        <f>SUM(F198:K198)</f>
        <v>290499.56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4310.2</v>
      </c>
      <c r="G200" s="18">
        <v>889.09</v>
      </c>
      <c r="H200" s="18">
        <v>994.84</v>
      </c>
      <c r="I200" s="18">
        <v>1430.78</v>
      </c>
      <c r="J200" s="18">
        <v>0</v>
      </c>
      <c r="K200" s="18">
        <v>932</v>
      </c>
      <c r="L200" s="19">
        <f>SUM(F200:K200)</f>
        <v>8556.91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10373.61</v>
      </c>
      <c r="G202" s="18">
        <v>1472.51</v>
      </c>
      <c r="H202" s="18">
        <f>40277.18+755.18+328.68</f>
        <v>41361.040000000001</v>
      </c>
      <c r="I202" s="18">
        <v>2183.63</v>
      </c>
      <c r="J202" s="18"/>
      <c r="K202" s="18">
        <v>1936.4</v>
      </c>
      <c r="L202" s="19">
        <f t="shared" ref="L202:L208" si="0">SUM(F202:K202)</f>
        <v>57327.19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61103.49</v>
      </c>
      <c r="G203" s="18">
        <v>23677.67</v>
      </c>
      <c r="H203" s="18">
        <f>12801.78+962.09</f>
        <v>13763.87</v>
      </c>
      <c r="I203" s="18">
        <v>4069.6</v>
      </c>
      <c r="J203" s="18">
        <v>0</v>
      </c>
      <c r="K203" s="18">
        <v>3641.66</v>
      </c>
      <c r="L203" s="19">
        <f t="shared" si="0"/>
        <v>106256.29000000001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2092.8000000000002</v>
      </c>
      <c r="G204" s="18">
        <v>160.13999999999999</v>
      </c>
      <c r="H204" s="18">
        <f>66292.2+2024.97</f>
        <v>68317.17</v>
      </c>
      <c r="I204" s="18">
        <v>224.89</v>
      </c>
      <c r="J204" s="18">
        <v>0</v>
      </c>
      <c r="K204" s="18">
        <v>1447.84</v>
      </c>
      <c r="L204" s="19">
        <f t="shared" si="0"/>
        <v>72242.84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76871.14</v>
      </c>
      <c r="G205" s="18">
        <v>26067.42</v>
      </c>
      <c r="H205" s="18">
        <v>2197.25</v>
      </c>
      <c r="I205" s="18">
        <v>825.2</v>
      </c>
      <c r="J205" s="18">
        <v>1689.57</v>
      </c>
      <c r="K205" s="18">
        <v>933</v>
      </c>
      <c r="L205" s="19">
        <f t="shared" si="0"/>
        <v>108583.58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28737.19</v>
      </c>
      <c r="G207" s="18">
        <v>13007.18</v>
      </c>
      <c r="H207" s="18">
        <f>33817.39+752</f>
        <v>34569.39</v>
      </c>
      <c r="I207" s="18">
        <v>28999.48</v>
      </c>
      <c r="J207" s="18">
        <v>846.61</v>
      </c>
      <c r="K207" s="18">
        <v>40</v>
      </c>
      <c r="L207" s="19">
        <f t="shared" si="0"/>
        <v>106199.84999999999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33082.71</v>
      </c>
      <c r="I208" s="18"/>
      <c r="J208" s="18"/>
      <c r="K208" s="18"/>
      <c r="L208" s="19">
        <f t="shared" si="0"/>
        <v>33082.71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1705.96</v>
      </c>
      <c r="I209" s="18"/>
      <c r="J209" s="18"/>
      <c r="K209" s="18"/>
      <c r="L209" s="19">
        <f>SUM(F209:K209)</f>
        <v>1705.96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610230.69999999984</v>
      </c>
      <c r="G211" s="41">
        <f t="shared" si="1"/>
        <v>215195.63</v>
      </c>
      <c r="H211" s="41">
        <f t="shared" si="1"/>
        <v>453606.7</v>
      </c>
      <c r="I211" s="41">
        <f t="shared" si="1"/>
        <v>53151.5</v>
      </c>
      <c r="J211" s="41">
        <f t="shared" si="1"/>
        <v>16010.57</v>
      </c>
      <c r="K211" s="41">
        <f t="shared" si="1"/>
        <v>9767.9499999999989</v>
      </c>
      <c r="L211" s="41">
        <f t="shared" si="1"/>
        <v>1357963.0500000003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327332.81</v>
      </c>
      <c r="I233" s="18"/>
      <c r="J233" s="18"/>
      <c r="K233" s="18"/>
      <c r="L233" s="19">
        <f>SUM(F233:K233)</f>
        <v>327332.81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61698.11</v>
      </c>
      <c r="I234" s="18"/>
      <c r="J234" s="18"/>
      <c r="K234" s="18"/>
      <c r="L234" s="19">
        <f>SUM(F234:K234)</f>
        <v>61698.11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44672.59</v>
      </c>
      <c r="I235" s="18"/>
      <c r="J235" s="18"/>
      <c r="K235" s="18"/>
      <c r="L235" s="19">
        <f>SUM(F235:K235)</f>
        <v>44672.59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260</v>
      </c>
      <c r="I236" s="18"/>
      <c r="J236" s="18"/>
      <c r="K236" s="18"/>
      <c r="L236" s="19">
        <f>SUM(F236:K236)</f>
        <v>260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1434.13</v>
      </c>
      <c r="I238" s="18"/>
      <c r="J238" s="18"/>
      <c r="K238" s="18"/>
      <c r="L238" s="19">
        <f t="shared" ref="L238:L244" si="4">SUM(F238:K238)</f>
        <v>1434.13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1274.7</v>
      </c>
      <c r="G240" s="18">
        <v>97.51</v>
      </c>
      <c r="H240" s="18">
        <f>34117.3+1043.19</f>
        <v>35160.490000000005</v>
      </c>
      <c r="I240" s="18">
        <v>56.71</v>
      </c>
      <c r="J240" s="18"/>
      <c r="K240" s="18">
        <v>745.85</v>
      </c>
      <c r="L240" s="19">
        <f t="shared" si="4"/>
        <v>37335.26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15915.7</v>
      </c>
      <c r="I244" s="18"/>
      <c r="J244" s="18"/>
      <c r="K244" s="18"/>
      <c r="L244" s="19">
        <f t="shared" si="4"/>
        <v>15915.7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1274.7</v>
      </c>
      <c r="G247" s="41">
        <f t="shared" si="5"/>
        <v>97.51</v>
      </c>
      <c r="H247" s="41">
        <f t="shared" si="5"/>
        <v>486473.83</v>
      </c>
      <c r="I247" s="41">
        <f t="shared" si="5"/>
        <v>56.71</v>
      </c>
      <c r="J247" s="41">
        <f t="shared" si="5"/>
        <v>0</v>
      </c>
      <c r="K247" s="41">
        <f t="shared" si="5"/>
        <v>745.85</v>
      </c>
      <c r="L247" s="41">
        <f t="shared" si="5"/>
        <v>488648.60000000003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611505.39999999979</v>
      </c>
      <c r="G257" s="41">
        <f t="shared" si="8"/>
        <v>215293.14</v>
      </c>
      <c r="H257" s="41">
        <f t="shared" si="8"/>
        <v>940080.53</v>
      </c>
      <c r="I257" s="41">
        <f t="shared" si="8"/>
        <v>53208.21</v>
      </c>
      <c r="J257" s="41">
        <f t="shared" si="8"/>
        <v>16010.57</v>
      </c>
      <c r="K257" s="41">
        <f t="shared" si="8"/>
        <v>10513.8</v>
      </c>
      <c r="L257" s="41">
        <f t="shared" si="8"/>
        <v>1846611.6500000004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25401.919999999998</v>
      </c>
      <c r="L263" s="19">
        <f>SUM(F263:K263)</f>
        <v>25401.919999999998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50401.919999999998</v>
      </c>
      <c r="L270" s="41">
        <f t="shared" si="9"/>
        <v>50401.919999999998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611505.39999999979</v>
      </c>
      <c r="G271" s="42">
        <f t="shared" si="11"/>
        <v>215293.14</v>
      </c>
      <c r="H271" s="42">
        <f t="shared" si="11"/>
        <v>940080.53</v>
      </c>
      <c r="I271" s="42">
        <f t="shared" si="11"/>
        <v>53208.21</v>
      </c>
      <c r="J271" s="42">
        <f t="shared" si="11"/>
        <v>16010.57</v>
      </c>
      <c r="K271" s="42">
        <f t="shared" si="11"/>
        <v>60915.72</v>
      </c>
      <c r="L271" s="42">
        <f t="shared" si="11"/>
        <v>1897013.5700000003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15251.44-810.41</f>
        <v>14441.03</v>
      </c>
      <c r="G276" s="18">
        <f>7228.84-630.13-18.89</f>
        <v>6579.82</v>
      </c>
      <c r="H276" s="18"/>
      <c r="I276" s="18"/>
      <c r="J276" s="18"/>
      <c r="K276" s="18"/>
      <c r="L276" s="19">
        <f>SUM(F276:K276)</f>
        <v>21020.85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366</v>
      </c>
      <c r="L283" s="19">
        <f t="shared" si="12"/>
        <v>366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14441.03</v>
      </c>
      <c r="G290" s="42">
        <f t="shared" si="13"/>
        <v>6579.82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366</v>
      </c>
      <c r="L290" s="41">
        <f t="shared" si="13"/>
        <v>21386.85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14441.03</v>
      </c>
      <c r="G338" s="41">
        <f t="shared" si="20"/>
        <v>6579.82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366</v>
      </c>
      <c r="L338" s="41">
        <f t="shared" si="20"/>
        <v>21386.85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14441.03</v>
      </c>
      <c r="G352" s="41">
        <f>G338</f>
        <v>6579.82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366</v>
      </c>
      <c r="L352" s="41">
        <f>L338+L351</f>
        <v>21386.85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45199.1+295</f>
        <v>45494.1</v>
      </c>
      <c r="I358" s="18">
        <v>392.24</v>
      </c>
      <c r="J358" s="18"/>
      <c r="K358" s="18">
        <v>400</v>
      </c>
      <c r="L358" s="13">
        <f>SUM(F358:K358)</f>
        <v>46286.34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45494.1</v>
      </c>
      <c r="I362" s="47">
        <f t="shared" si="22"/>
        <v>392.24</v>
      </c>
      <c r="J362" s="47">
        <f t="shared" si="22"/>
        <v>0</v>
      </c>
      <c r="K362" s="47">
        <f t="shared" si="22"/>
        <v>400</v>
      </c>
      <c r="L362" s="47">
        <f t="shared" si="22"/>
        <v>46286.34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392.24</v>
      </c>
      <c r="G367" s="18"/>
      <c r="H367" s="18"/>
      <c r="I367" s="56">
        <f>SUM(F367:H367)</f>
        <v>392.24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392.24</v>
      </c>
      <c r="G369" s="47">
        <f>SUM(G367:G368)</f>
        <v>0</v>
      </c>
      <c r="H369" s="47">
        <f>SUM(H367:H368)</f>
        <v>0</v>
      </c>
      <c r="I369" s="47">
        <f>SUM(I367:I368)</f>
        <v>392.24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60000</v>
      </c>
      <c r="L423" s="56">
        <f t="shared" si="29"/>
        <v>60000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60000</v>
      </c>
      <c r="L427" s="47">
        <f t="shared" si="30"/>
        <v>60000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60000</v>
      </c>
      <c r="L434" s="47">
        <f t="shared" si="32"/>
        <v>60000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242021</v>
      </c>
      <c r="H440" s="18"/>
      <c r="I440" s="56">
        <f t="shared" si="33"/>
        <v>242021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242021</v>
      </c>
      <c r="H446" s="13">
        <f>SUM(H439:H445)</f>
        <v>0</v>
      </c>
      <c r="I446" s="13">
        <f>SUM(I439:I445)</f>
        <v>242021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242021</v>
      </c>
      <c r="H459" s="18"/>
      <c r="I459" s="56">
        <f t="shared" si="34"/>
        <v>242021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242021</v>
      </c>
      <c r="H460" s="83">
        <f>SUM(H454:H459)</f>
        <v>0</v>
      </c>
      <c r="I460" s="83">
        <f>SUM(I454:I459)</f>
        <v>242021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242021</v>
      </c>
      <c r="H461" s="42">
        <f>H452+H460</f>
        <v>0</v>
      </c>
      <c r="I461" s="42">
        <f>I452+I460</f>
        <v>242021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46542.8</v>
      </c>
      <c r="G465" s="18">
        <v>617.80999999999995</v>
      </c>
      <c r="H465" s="18"/>
      <c r="I465" s="18"/>
      <c r="J465" s="18">
        <f>278662-1641</f>
        <v>277021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1859112.06</v>
      </c>
      <c r="G468" s="18">
        <v>46286.34</v>
      </c>
      <c r="H468" s="18">
        <v>21386.85</v>
      </c>
      <c r="I468" s="18"/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1859112.06</v>
      </c>
      <c r="G470" s="53">
        <f>SUM(G468:G469)</f>
        <v>46286.34</v>
      </c>
      <c r="H470" s="53">
        <f>SUM(H468:H469)</f>
        <v>21386.85</v>
      </c>
      <c r="I470" s="53">
        <f>SUM(I468:I469)</f>
        <v>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1897013.5700000003</v>
      </c>
      <c r="G472" s="18">
        <v>46286.34</v>
      </c>
      <c r="H472" s="18">
        <f>H193</f>
        <v>21386.85</v>
      </c>
      <c r="I472" s="18"/>
      <c r="J472" s="18">
        <v>60000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1897013.5700000003</v>
      </c>
      <c r="G474" s="53">
        <f>SUM(G472:G473)</f>
        <v>46286.34</v>
      </c>
      <c r="H474" s="53">
        <f>SUM(H472:H473)</f>
        <v>21386.85</v>
      </c>
      <c r="I474" s="53">
        <f>SUM(I472:I473)</f>
        <v>0</v>
      </c>
      <c r="J474" s="53">
        <f>SUM(J472:J473)</f>
        <v>60000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8641.2899999998044</v>
      </c>
      <c r="G476" s="53">
        <f>(G465+G470)- G474</f>
        <v>617.80999999999767</v>
      </c>
      <c r="H476" s="53">
        <f>(H465+H470)- H474</f>
        <v>0</v>
      </c>
      <c r="I476" s="53">
        <f>(I465+I470)- I474</f>
        <v>0</v>
      </c>
      <c r="J476" s="53">
        <f>(J465+J470)- J474</f>
        <v>242021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40674.32</v>
      </c>
      <c r="G521" s="18">
        <v>17217.14</v>
      </c>
      <c r="H521" s="18">
        <v>227338.06</v>
      </c>
      <c r="I521" s="18">
        <v>1874.16</v>
      </c>
      <c r="J521" s="18"/>
      <c r="K521" s="18"/>
      <c r="L521" s="88">
        <f>SUM(F521:K521)</f>
        <v>287103.68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61698.11</v>
      </c>
      <c r="I523" s="18"/>
      <c r="J523" s="18"/>
      <c r="K523" s="18"/>
      <c r="L523" s="88">
        <f>SUM(F523:K523)</f>
        <v>61698.11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40674.32</v>
      </c>
      <c r="G524" s="108">
        <f t="shared" ref="G524:L524" si="36">SUM(G521:G523)</f>
        <v>17217.14</v>
      </c>
      <c r="H524" s="108">
        <f t="shared" si="36"/>
        <v>289036.17</v>
      </c>
      <c r="I524" s="108">
        <f t="shared" si="36"/>
        <v>1874.16</v>
      </c>
      <c r="J524" s="108">
        <f t="shared" si="36"/>
        <v>0</v>
      </c>
      <c r="K524" s="108">
        <f t="shared" si="36"/>
        <v>0</v>
      </c>
      <c r="L524" s="89">
        <f t="shared" si="36"/>
        <v>348801.79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23280.06</v>
      </c>
      <c r="I526" s="18">
        <v>284.72000000000003</v>
      </c>
      <c r="J526" s="18"/>
      <c r="K526" s="18"/>
      <c r="L526" s="88">
        <f>SUM(F526:K526)</f>
        <v>23564.780000000002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1434.13</v>
      </c>
      <c r="I528" s="18"/>
      <c r="J528" s="18"/>
      <c r="K528" s="18"/>
      <c r="L528" s="88">
        <f>SUM(F528:K528)</f>
        <v>1434.13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24714.190000000002</v>
      </c>
      <c r="I529" s="89">
        <f t="shared" si="37"/>
        <v>284.72000000000003</v>
      </c>
      <c r="J529" s="89">
        <f t="shared" si="37"/>
        <v>0</v>
      </c>
      <c r="K529" s="89">
        <f t="shared" si="37"/>
        <v>0</v>
      </c>
      <c r="L529" s="89">
        <f t="shared" si="37"/>
        <v>24998.910000000003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12920</v>
      </c>
      <c r="I531" s="18"/>
      <c r="J531" s="18"/>
      <c r="K531" s="18"/>
      <c r="L531" s="88">
        <f>SUM(F531:K531)</f>
        <v>12920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7919</v>
      </c>
      <c r="I533" s="18"/>
      <c r="J533" s="18"/>
      <c r="K533" s="18"/>
      <c r="L533" s="88">
        <f>SUM(F533:K533)</f>
        <v>7919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20839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20839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40674.32</v>
      </c>
      <c r="G545" s="89">
        <f t="shared" ref="G545:L545" si="41">G524+G529+G534+G539+G544</f>
        <v>17217.14</v>
      </c>
      <c r="H545" s="89">
        <f t="shared" si="41"/>
        <v>334589.36</v>
      </c>
      <c r="I545" s="89">
        <f t="shared" si="41"/>
        <v>2158.88</v>
      </c>
      <c r="J545" s="89">
        <f t="shared" si="41"/>
        <v>0</v>
      </c>
      <c r="K545" s="89">
        <f t="shared" si="41"/>
        <v>0</v>
      </c>
      <c r="L545" s="89">
        <f t="shared" si="41"/>
        <v>394639.69999999995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287103.68</v>
      </c>
      <c r="G549" s="87">
        <f>L526</f>
        <v>23564.780000000002</v>
      </c>
      <c r="H549" s="87">
        <f>L531</f>
        <v>12920</v>
      </c>
      <c r="I549" s="87">
        <f>L536</f>
        <v>0</v>
      </c>
      <c r="J549" s="87">
        <f>L541</f>
        <v>0</v>
      </c>
      <c r="K549" s="87">
        <f>SUM(F549:J549)</f>
        <v>323588.46000000002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61698.11</v>
      </c>
      <c r="G551" s="87">
        <f>L528</f>
        <v>1434.13</v>
      </c>
      <c r="H551" s="87">
        <f>L533</f>
        <v>7919</v>
      </c>
      <c r="I551" s="87">
        <f>L538</f>
        <v>0</v>
      </c>
      <c r="J551" s="87">
        <f>L543</f>
        <v>0</v>
      </c>
      <c r="K551" s="87">
        <f>SUM(F551:J551)</f>
        <v>71051.239999999991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348801.79</v>
      </c>
      <c r="G552" s="89">
        <f t="shared" si="42"/>
        <v>24998.910000000003</v>
      </c>
      <c r="H552" s="89">
        <f t="shared" si="42"/>
        <v>20839</v>
      </c>
      <c r="I552" s="89">
        <f t="shared" si="42"/>
        <v>0</v>
      </c>
      <c r="J552" s="89">
        <f t="shared" si="42"/>
        <v>0</v>
      </c>
      <c r="K552" s="89">
        <f t="shared" si="42"/>
        <v>394639.7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88413.66</v>
      </c>
      <c r="I575" s="87">
        <f>SUM(F575:H575)</f>
        <v>88413.66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238919.15</v>
      </c>
      <c r="I576" s="87">
        <f t="shared" ref="I576:I587" si="47">SUM(F576:H576)</f>
        <v>238919.15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44868.21</v>
      </c>
      <c r="I580" s="87">
        <f t="shared" si="47"/>
        <v>44868.21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227338.06</v>
      </c>
      <c r="G582" s="18"/>
      <c r="H582" s="18">
        <v>16829.900000000001</v>
      </c>
      <c r="I582" s="87">
        <f t="shared" si="47"/>
        <v>244167.96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44672.59</v>
      </c>
      <c r="I585" s="87">
        <f t="shared" si="47"/>
        <v>44672.59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30895.22</v>
      </c>
      <c r="I591" s="18"/>
      <c r="J591" s="18">
        <v>15915.7</v>
      </c>
      <c r="K591" s="104">
        <f t="shared" ref="K591:K597" si="48">SUM(H591:J591)</f>
        <v>46810.92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2187.4899999999998</v>
      </c>
      <c r="I595" s="18"/>
      <c r="J595" s="18"/>
      <c r="K595" s="104">
        <f t="shared" si="48"/>
        <v>2187.4899999999998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33082.71</v>
      </c>
      <c r="I598" s="108">
        <f>SUM(I591:I597)</f>
        <v>0</v>
      </c>
      <c r="J598" s="108">
        <f>SUM(J591:J597)</f>
        <v>15915.7</v>
      </c>
      <c r="K598" s="108">
        <f>SUM(K591:K597)</f>
        <v>48998.409999999996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16010.57</v>
      </c>
      <c r="I604" s="18"/>
      <c r="J604" s="18"/>
      <c r="K604" s="104">
        <f>SUM(H604:J604)</f>
        <v>16010.57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16010.57</v>
      </c>
      <c r="I605" s="108">
        <f>SUM(I602:I604)</f>
        <v>0</v>
      </c>
      <c r="J605" s="108">
        <f>SUM(J602:J604)</f>
        <v>0</v>
      </c>
      <c r="K605" s="108">
        <f>SUM(K602:K604)</f>
        <v>16010.57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4060.2</v>
      </c>
      <c r="G611" s="18">
        <v>869.96</v>
      </c>
      <c r="H611" s="18">
        <v>994.84</v>
      </c>
      <c r="I611" s="18">
        <v>144.63</v>
      </c>
      <c r="J611" s="18"/>
      <c r="K611" s="18"/>
      <c r="L611" s="88">
        <f>SUM(F611:K611)</f>
        <v>6069.63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260</v>
      </c>
      <c r="I613" s="18"/>
      <c r="J613" s="18"/>
      <c r="K613" s="18"/>
      <c r="L613" s="88">
        <f>SUM(F613:K613)</f>
        <v>260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4060.2</v>
      </c>
      <c r="G614" s="108">
        <f t="shared" si="49"/>
        <v>869.96</v>
      </c>
      <c r="H614" s="108">
        <f t="shared" si="49"/>
        <v>1254.8400000000001</v>
      </c>
      <c r="I614" s="108">
        <f t="shared" si="49"/>
        <v>144.63</v>
      </c>
      <c r="J614" s="108">
        <f t="shared" si="49"/>
        <v>0</v>
      </c>
      <c r="K614" s="108">
        <f t="shared" si="49"/>
        <v>0</v>
      </c>
      <c r="L614" s="89">
        <f t="shared" si="49"/>
        <v>6329.63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63295.560000000005</v>
      </c>
      <c r="H617" s="109">
        <f>SUM(F52)</f>
        <v>63295.56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745.68</v>
      </c>
      <c r="H618" s="109">
        <f>SUM(G52)</f>
        <v>745.68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4118.32</v>
      </c>
      <c r="H619" s="109">
        <f>SUM(H52)</f>
        <v>4118.32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242021</v>
      </c>
      <c r="H621" s="109">
        <f>SUM(J52)</f>
        <v>242021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8641.2900000000009</v>
      </c>
      <c r="H622" s="109">
        <f>F476</f>
        <v>8641.2899999998044</v>
      </c>
      <c r="I622" s="121" t="s">
        <v>101</v>
      </c>
      <c r="J622" s="109">
        <f t="shared" ref="J622:J655" si="50">G622-H622</f>
        <v>1.964508555829525E-10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617.80999999999995</v>
      </c>
      <c r="H623" s="109">
        <f>G476</f>
        <v>617.80999999999767</v>
      </c>
      <c r="I623" s="121" t="s">
        <v>102</v>
      </c>
      <c r="J623" s="109">
        <f t="shared" si="50"/>
        <v>2.2737367544323206E-12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242021</v>
      </c>
      <c r="H626" s="109">
        <f>J476</f>
        <v>242021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1859112.06</v>
      </c>
      <c r="H627" s="104">
        <f>SUM(F468)</f>
        <v>1859112.06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46286.34</v>
      </c>
      <c r="H628" s="104">
        <f>SUM(G468)</f>
        <v>46286.34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21386.85</v>
      </c>
      <c r="H629" s="104">
        <f>SUM(H468)</f>
        <v>21386.85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1897013.5700000003</v>
      </c>
      <c r="H632" s="104">
        <f>SUM(F472)</f>
        <v>1897013.5700000003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21386.85</v>
      </c>
      <c r="H633" s="104">
        <f>SUM(H472)</f>
        <v>21386.85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392.24</v>
      </c>
      <c r="H634" s="104">
        <f>I369</f>
        <v>392.24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46286.34</v>
      </c>
      <c r="H635" s="104">
        <f>SUM(G472)</f>
        <v>46286.34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60000</v>
      </c>
      <c r="H638" s="164">
        <f>SUM(J472)</f>
        <v>60000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242021</v>
      </c>
      <c r="H640" s="104">
        <f>SUM(G461)</f>
        <v>242021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242021</v>
      </c>
      <c r="H642" s="104">
        <f>SUM(I461)</f>
        <v>242021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48998.409999999996</v>
      </c>
      <c r="H647" s="104">
        <f>L208+L226+L244</f>
        <v>48998.41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16010.57</v>
      </c>
      <c r="H648" s="104">
        <f>(J257+J338)-(J255+J336)</f>
        <v>16010.57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33082.71</v>
      </c>
      <c r="H649" s="104">
        <f>H598</f>
        <v>33082.71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15915.7</v>
      </c>
      <c r="H651" s="104">
        <f>J598</f>
        <v>15915.7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25401.919999999998</v>
      </c>
      <c r="H652" s="104">
        <f>K263+K345</f>
        <v>25401.919999999998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1425636.2400000005</v>
      </c>
      <c r="G660" s="19">
        <f>(L229+L309+L359)</f>
        <v>0</v>
      </c>
      <c r="H660" s="19">
        <f>(L247+L328+L360)</f>
        <v>488648.60000000003</v>
      </c>
      <c r="I660" s="19">
        <f>SUM(F660:H660)</f>
        <v>1914284.8400000005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11039.73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11039.73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33082.71</v>
      </c>
      <c r="G662" s="19">
        <f>(L226+L306)-(J226+J306)</f>
        <v>0</v>
      </c>
      <c r="H662" s="19">
        <f>(L244+L325)-(J244+J325)</f>
        <v>15915.7</v>
      </c>
      <c r="I662" s="19">
        <f>SUM(F662:H662)</f>
        <v>48998.41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249418.26</v>
      </c>
      <c r="G663" s="199">
        <f>SUM(G575:G587)+SUM(I602:I604)+L612</f>
        <v>0</v>
      </c>
      <c r="H663" s="199">
        <f>SUM(H575:H587)+SUM(J602:J604)+L613</f>
        <v>433963.51</v>
      </c>
      <c r="I663" s="19">
        <f>SUM(F663:H663)</f>
        <v>683381.77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1132095.5400000005</v>
      </c>
      <c r="G664" s="19">
        <f>G660-SUM(G661:G663)</f>
        <v>0</v>
      </c>
      <c r="H664" s="19">
        <f>H660-SUM(H661:H663)</f>
        <v>38769.390000000014</v>
      </c>
      <c r="I664" s="19">
        <f>I660-SUM(I661:I663)</f>
        <v>1170864.9300000006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61.26</v>
      </c>
      <c r="G665" s="248"/>
      <c r="H665" s="248"/>
      <c r="I665" s="19">
        <f>SUM(F665:H665)</f>
        <v>61.26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18480.18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19113.04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-38769.39</v>
      </c>
      <c r="I669" s="19">
        <f>SUM(F669:H669)</f>
        <v>-38769.39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18480.18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18480.18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4" workbookViewId="0">
      <selection activeCell="B64" sqref="B6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PIERMONT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399948.98</v>
      </c>
      <c r="C9" s="229">
        <f>'DOE25'!G197+'DOE25'!G215+'DOE25'!G233+'DOE25'!G276+'DOE25'!G295+'DOE25'!G314</f>
        <v>139162.17000000001</v>
      </c>
    </row>
    <row r="10" spans="1:3" x14ac:dyDescent="0.2">
      <c r="A10" t="s">
        <v>779</v>
      </c>
      <c r="B10" s="240">
        <v>375548.08</v>
      </c>
      <c r="C10" s="240">
        <v>139162.17000000001</v>
      </c>
    </row>
    <row r="11" spans="1:3" x14ac:dyDescent="0.2">
      <c r="A11" t="s">
        <v>780</v>
      </c>
      <c r="B11" s="240">
        <v>21721.45</v>
      </c>
      <c r="C11" s="240"/>
    </row>
    <row r="12" spans="1:3" x14ac:dyDescent="0.2">
      <c r="A12" t="s">
        <v>781</v>
      </c>
      <c r="B12" s="240">
        <v>2679.45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399948.98000000004</v>
      </c>
      <c r="C13" s="231">
        <f>SUM(C10:C12)</f>
        <v>139162.17000000001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41234.32</v>
      </c>
      <c r="C18" s="229">
        <f>'DOE25'!G198+'DOE25'!G216+'DOE25'!G234+'DOE25'!G277+'DOE25'!G296+'DOE25'!G315</f>
        <v>17339.27</v>
      </c>
    </row>
    <row r="19" spans="1:3" x14ac:dyDescent="0.2">
      <c r="A19" t="s">
        <v>779</v>
      </c>
      <c r="B19" s="240">
        <v>26640.959999999999</v>
      </c>
      <c r="C19" s="240">
        <v>17339.27</v>
      </c>
    </row>
    <row r="20" spans="1:3" x14ac:dyDescent="0.2">
      <c r="A20" t="s">
        <v>780</v>
      </c>
      <c r="B20" s="240">
        <v>12784.16</v>
      </c>
      <c r="C20" s="240"/>
    </row>
    <row r="21" spans="1:3" x14ac:dyDescent="0.2">
      <c r="A21" t="s">
        <v>781</v>
      </c>
      <c r="B21" s="240">
        <v>1809.2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41234.319999999992</v>
      </c>
      <c r="C22" s="231">
        <f>SUM(C19:C21)</f>
        <v>17339.27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4310.2</v>
      </c>
      <c r="C36" s="235">
        <f>'DOE25'!G200+'DOE25'!G218+'DOE25'!G236+'DOE25'!G279+'DOE25'!G298+'DOE25'!G317</f>
        <v>889.09</v>
      </c>
    </row>
    <row r="37" spans="1:3" x14ac:dyDescent="0.2">
      <c r="A37" t="s">
        <v>779</v>
      </c>
      <c r="B37" s="240">
        <v>3600</v>
      </c>
      <c r="C37" s="240">
        <v>889.09</v>
      </c>
    </row>
    <row r="38" spans="1:3" x14ac:dyDescent="0.2">
      <c r="A38" t="s">
        <v>780</v>
      </c>
      <c r="B38" s="240">
        <v>460.2</v>
      </c>
      <c r="C38" s="240"/>
    </row>
    <row r="39" spans="1:3" x14ac:dyDescent="0.2">
      <c r="A39" t="s">
        <v>781</v>
      </c>
      <c r="B39" s="240">
        <v>250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4310.2</v>
      </c>
      <c r="C40" s="231">
        <f>SUM(C37:C39)</f>
        <v>889.09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PIERMONT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1306528.1400000001</v>
      </c>
      <c r="D5" s="20">
        <f>SUM('DOE25'!L197:L200)+SUM('DOE25'!L215:L218)+SUM('DOE25'!L233:L236)-F5-G5</f>
        <v>1291284.7000000002</v>
      </c>
      <c r="E5" s="243"/>
      <c r="F5" s="255">
        <f>SUM('DOE25'!J197:J200)+SUM('DOE25'!J215:J218)+SUM('DOE25'!J233:J236)</f>
        <v>13474.39</v>
      </c>
      <c r="G5" s="53">
        <f>SUM('DOE25'!K197:K200)+SUM('DOE25'!K215:K218)+SUM('DOE25'!K233:K236)</f>
        <v>1769.05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58761.32</v>
      </c>
      <c r="D6" s="20">
        <f>'DOE25'!L202+'DOE25'!L220+'DOE25'!L238-F6-G6</f>
        <v>56824.92</v>
      </c>
      <c r="E6" s="243"/>
      <c r="F6" s="255">
        <f>'DOE25'!J202+'DOE25'!J220+'DOE25'!J238</f>
        <v>0</v>
      </c>
      <c r="G6" s="53">
        <f>'DOE25'!K202+'DOE25'!K220+'DOE25'!K238</f>
        <v>1936.4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106256.29000000001</v>
      </c>
      <c r="D7" s="20">
        <f>'DOE25'!L203+'DOE25'!L221+'DOE25'!L239-F7-G7</f>
        <v>102614.63</v>
      </c>
      <c r="E7" s="243"/>
      <c r="F7" s="255">
        <f>'DOE25'!J203+'DOE25'!J221+'DOE25'!J239</f>
        <v>0</v>
      </c>
      <c r="G7" s="53">
        <f>'DOE25'!K203+'DOE25'!K221+'DOE25'!K239</f>
        <v>3641.66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47259.98</v>
      </c>
      <c r="D8" s="243"/>
      <c r="E8" s="20">
        <f>'DOE25'!L204+'DOE25'!L222+'DOE25'!L240-F8-G8-D9-D11</f>
        <v>45066.29</v>
      </c>
      <c r="F8" s="255">
        <f>'DOE25'!J204+'DOE25'!J222+'DOE25'!J240</f>
        <v>0</v>
      </c>
      <c r="G8" s="53">
        <f>'DOE25'!K204+'DOE25'!K222+'DOE25'!K240</f>
        <v>2193.69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12327.1</v>
      </c>
      <c r="D9" s="244">
        <v>12327.1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7200</v>
      </c>
      <c r="D10" s="243"/>
      <c r="E10" s="244">
        <v>7200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49991.02</v>
      </c>
      <c r="D11" s="244">
        <v>49991.02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108583.58</v>
      </c>
      <c r="D12" s="20">
        <f>'DOE25'!L205+'DOE25'!L223+'DOE25'!L241-F12-G12</f>
        <v>105961.01</v>
      </c>
      <c r="E12" s="243"/>
      <c r="F12" s="255">
        <f>'DOE25'!J205+'DOE25'!J223+'DOE25'!J241</f>
        <v>1689.57</v>
      </c>
      <c r="G12" s="53">
        <f>'DOE25'!K205+'DOE25'!K223+'DOE25'!K241</f>
        <v>933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106199.84999999999</v>
      </c>
      <c r="D14" s="20">
        <f>'DOE25'!L207+'DOE25'!L225+'DOE25'!L243-F14-G14</f>
        <v>105313.23999999999</v>
      </c>
      <c r="E14" s="243"/>
      <c r="F14" s="255">
        <f>'DOE25'!J207+'DOE25'!J225+'DOE25'!J243</f>
        <v>846.61</v>
      </c>
      <c r="G14" s="53">
        <f>'DOE25'!K207+'DOE25'!K225+'DOE25'!K243</f>
        <v>40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48998.41</v>
      </c>
      <c r="D15" s="20">
        <f>'DOE25'!L208+'DOE25'!L226+'DOE25'!L244-F15-G15</f>
        <v>48998.41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1705.96</v>
      </c>
      <c r="D16" s="243"/>
      <c r="E16" s="20">
        <f>'DOE25'!L209+'DOE25'!L227+'DOE25'!L245-F16-G16</f>
        <v>1705.96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45894.1</v>
      </c>
      <c r="D29" s="20">
        <f>'DOE25'!L358+'DOE25'!L359+'DOE25'!L360-'DOE25'!I367-F29-G29</f>
        <v>45494.1</v>
      </c>
      <c r="E29" s="243"/>
      <c r="F29" s="255">
        <f>'DOE25'!J358+'DOE25'!J359+'DOE25'!J360</f>
        <v>0</v>
      </c>
      <c r="G29" s="53">
        <f>'DOE25'!K358+'DOE25'!K359+'DOE25'!K360</f>
        <v>400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21386.85</v>
      </c>
      <c r="D31" s="20">
        <f>'DOE25'!L290+'DOE25'!L309+'DOE25'!L328+'DOE25'!L333+'DOE25'!L334+'DOE25'!L335-F31-G31</f>
        <v>21020.85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1839829.9800000002</v>
      </c>
      <c r="E33" s="246">
        <f>SUM(E5:E31)</f>
        <v>53972.25</v>
      </c>
      <c r="F33" s="246">
        <f>SUM(F5:F31)</f>
        <v>16010.57</v>
      </c>
      <c r="G33" s="246">
        <f>SUM(G5:G31)</f>
        <v>11279.8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53972.25</v>
      </c>
      <c r="E35" s="249"/>
    </row>
    <row r="36" spans="2:8" ht="12" thickTop="1" x14ac:dyDescent="0.2">
      <c r="B36" t="s">
        <v>815</v>
      </c>
      <c r="D36" s="20">
        <f>D33</f>
        <v>1839829.9800000002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41651.760000000002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242021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15661.11</v>
      </c>
      <c r="D12" s="95">
        <f>'DOE25'!G13</f>
        <v>745.68</v>
      </c>
      <c r="E12" s="95">
        <f>'DOE25'!H13</f>
        <v>4118.32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4246.1899999999996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1736.5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63295.560000000005</v>
      </c>
      <c r="D18" s="41">
        <f>SUM(D8:D17)</f>
        <v>745.68</v>
      </c>
      <c r="E18" s="41">
        <f>SUM(E8:E17)</f>
        <v>4118.32</v>
      </c>
      <c r="F18" s="41">
        <f>SUM(F8:F17)</f>
        <v>0</v>
      </c>
      <c r="G18" s="41">
        <f>SUM(G8:G17)</f>
        <v>242021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127.87</v>
      </c>
      <c r="E21" s="95">
        <f>'DOE25'!H22</f>
        <v>4118.32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54654.27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54654.27</v>
      </c>
      <c r="D31" s="41">
        <f>SUM(D21:D30)</f>
        <v>127.87</v>
      </c>
      <c r="E31" s="41">
        <f>SUM(E21:E30)</f>
        <v>4118.32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6812.6100000000006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328.68</v>
      </c>
      <c r="D47" s="95">
        <f>'DOE25'!G48</f>
        <v>617.80999999999995</v>
      </c>
      <c r="E47" s="95">
        <f>'DOE25'!H48</f>
        <v>0</v>
      </c>
      <c r="F47" s="95">
        <f>'DOE25'!I48</f>
        <v>0</v>
      </c>
      <c r="G47" s="95">
        <f>'DOE25'!J48</f>
        <v>242021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1500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8641.2900000000009</v>
      </c>
      <c r="D50" s="41">
        <f>SUM(D34:D49)</f>
        <v>617.80999999999995</v>
      </c>
      <c r="E50" s="41">
        <f>SUM(E34:E49)</f>
        <v>0</v>
      </c>
      <c r="F50" s="41">
        <f>SUM(F34:F49)</f>
        <v>0</v>
      </c>
      <c r="G50" s="41">
        <f>SUM(G34:G49)</f>
        <v>242021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63295.56</v>
      </c>
      <c r="D51" s="41">
        <f>D50+D31</f>
        <v>745.68</v>
      </c>
      <c r="E51" s="41">
        <f>E50+E31</f>
        <v>4118.32</v>
      </c>
      <c r="F51" s="41">
        <f>F50+F31</f>
        <v>0</v>
      </c>
      <c r="G51" s="41">
        <f>G50+G31</f>
        <v>242021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1172150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9.8000000000000007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11039.73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1247.01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1256.81</v>
      </c>
      <c r="D62" s="130">
        <f>SUM(D57:D61)</f>
        <v>11039.73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1173406.81</v>
      </c>
      <c r="D63" s="22">
        <f>D56+D62</f>
        <v>11039.73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297977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250696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548673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1350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25630.48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1525.99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26980.48</v>
      </c>
      <c r="D78" s="130">
        <f>SUM(D72:D77)</f>
        <v>1525.99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575653.48</v>
      </c>
      <c r="D81" s="130">
        <f>SUM(D79:D80)+D78+D70</f>
        <v>1525.99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2251.39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48516.639999999999</v>
      </c>
      <c r="D88" s="95">
        <f>SUM('DOE25'!G153:G161)</f>
        <v>8318.7000000000007</v>
      </c>
      <c r="E88" s="95">
        <f>SUM('DOE25'!H153:H161)</f>
        <v>19135.46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1535.13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50051.77</v>
      </c>
      <c r="D91" s="131">
        <f>SUM(D85:D90)</f>
        <v>8318.7000000000007</v>
      </c>
      <c r="E91" s="131">
        <f>SUM(E85:E90)</f>
        <v>21386.85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25401.919999999998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60000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60000</v>
      </c>
      <c r="D103" s="86">
        <f>SUM(D93:D102)</f>
        <v>25401.919999999998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1859112.06</v>
      </c>
      <c r="D104" s="86">
        <f>D63+D81+D91+D103</f>
        <v>46286.34</v>
      </c>
      <c r="E104" s="86">
        <f>E63+E81+E91+E103</f>
        <v>21386.85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900840.97</v>
      </c>
      <c r="D109" s="24" t="s">
        <v>289</v>
      </c>
      <c r="E109" s="95">
        <f>('DOE25'!L276)+('DOE25'!L295)+('DOE25'!L314)</f>
        <v>21020.85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352197.67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44672.59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8816.91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1306528.1399999999</v>
      </c>
      <c r="D115" s="86">
        <f>SUM(D109:D114)</f>
        <v>0</v>
      </c>
      <c r="E115" s="86">
        <f>SUM(E109:E114)</f>
        <v>21020.85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58761.32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106256.29000000001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109578.1</v>
      </c>
      <c r="D120" s="24" t="s">
        <v>289</v>
      </c>
      <c r="E120" s="95">
        <f>+('DOE25'!L283)+('DOE25'!L302)+('DOE25'!L321)</f>
        <v>366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108583.58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106199.84999999999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48998.41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1705.96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46286.34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540083.51</v>
      </c>
      <c r="D128" s="86">
        <f>SUM(D118:D127)</f>
        <v>46286.34</v>
      </c>
      <c r="E128" s="86">
        <f>SUM(E118:E127)</f>
        <v>366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60000</v>
      </c>
    </row>
    <row r="135" spans="1:7" x14ac:dyDescent="0.2">
      <c r="A135" t="s">
        <v>233</v>
      </c>
      <c r="B135" s="32" t="s">
        <v>234</v>
      </c>
      <c r="C135" s="95">
        <f>'DOE25'!L263</f>
        <v>25401.919999999998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50401.919999999998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60000</v>
      </c>
    </row>
    <row r="145" spans="1:9" ht="12.75" thickTop="1" thickBot="1" x14ac:dyDescent="0.25">
      <c r="A145" s="33" t="s">
        <v>244</v>
      </c>
      <c r="C145" s="86">
        <f>(C115+C128+C144)</f>
        <v>1897013.5699999998</v>
      </c>
      <c r="D145" s="86">
        <f>(D115+D128+D144)</f>
        <v>46286.34</v>
      </c>
      <c r="E145" s="86">
        <f>(E115+E128+E144)</f>
        <v>21386.85</v>
      </c>
      <c r="F145" s="86">
        <f>(F115+F128+F144)</f>
        <v>0</v>
      </c>
      <c r="G145" s="86">
        <f>(G115+G128+G144)</f>
        <v>60000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PIERMONT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18480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18480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921862</v>
      </c>
      <c r="D10" s="182">
        <f>ROUND((C10/$C$28)*100,1)</f>
        <v>48.4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352198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44673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8817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58761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106256</v>
      </c>
      <c r="D16" s="182">
        <f t="shared" si="0"/>
        <v>5.6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111650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108584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106200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48998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35246.270000000004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1903245.27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1903245.27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1172150</v>
      </c>
      <c r="D35" s="182">
        <f t="shared" ref="D35:D40" si="1">ROUND((C35/$C$41)*100,1)</f>
        <v>64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1256.8100000000559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548673</v>
      </c>
      <c r="D37" s="182">
        <f t="shared" si="1"/>
        <v>30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28506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79757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1830342.81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PIERMONT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2015-10-23T13:10:41Z</cp:lastPrinted>
  <dcterms:created xsi:type="dcterms:W3CDTF">1997-12-04T19:04:30Z</dcterms:created>
  <dcterms:modified xsi:type="dcterms:W3CDTF">2015-10-27T15:02:04Z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