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8" i="1" l="1"/>
  <c r="F109" i="1"/>
  <c r="F50" i="1"/>
  <c r="F13" i="1"/>
  <c r="F665" i="1" l="1"/>
  <c r="C37" i="12" l="1"/>
  <c r="C19" i="12"/>
  <c r="B19" i="12"/>
  <c r="B20" i="12"/>
  <c r="C10" i="12"/>
  <c r="B11" i="12"/>
  <c r="B10" i="12"/>
  <c r="G468" i="1" l="1"/>
  <c r="G40" i="1"/>
  <c r="G9" i="1"/>
  <c r="F9" i="1"/>
  <c r="G473" i="1" l="1"/>
  <c r="H360" i="1"/>
  <c r="H358" i="1"/>
  <c r="G24" i="1"/>
  <c r="H244" i="1" l="1"/>
  <c r="H243" i="1"/>
  <c r="H241" i="1"/>
  <c r="H240" i="1"/>
  <c r="K239" i="1"/>
  <c r="H239" i="1"/>
  <c r="H238" i="1"/>
  <c r="H236" i="1"/>
  <c r="H233" i="1"/>
  <c r="H204" i="1"/>
  <c r="K203" i="1"/>
  <c r="H202" i="1"/>
  <c r="H197" i="1"/>
  <c r="G202" i="1"/>
  <c r="J202" i="1"/>
  <c r="F202" i="1"/>
  <c r="I198" i="1"/>
  <c r="G198" i="1"/>
  <c r="F198" i="1"/>
  <c r="I208" i="1"/>
  <c r="G208" i="1"/>
  <c r="F208" i="1"/>
  <c r="H208" i="1"/>
  <c r="H207" i="1"/>
  <c r="H205" i="1"/>
  <c r="G204" i="1"/>
  <c r="F204" i="1"/>
  <c r="G203" i="1"/>
  <c r="F203" i="1"/>
  <c r="G200" i="1"/>
  <c r="F200" i="1"/>
  <c r="H526" i="1" l="1"/>
  <c r="H528" i="1"/>
  <c r="H533" i="1"/>
  <c r="H531" i="1"/>
  <c r="H468" i="1"/>
  <c r="H110" i="1"/>
  <c r="H320" i="1"/>
  <c r="H155" i="1"/>
  <c r="H154" i="1"/>
  <c r="H392" i="1"/>
  <c r="H396" i="1"/>
  <c r="H22" i="1"/>
  <c r="H13" i="1"/>
  <c r="F2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9" i="10" s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E119" i="2" s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7" i="10"/>
  <c r="C18" i="10"/>
  <c r="C21" i="10"/>
  <c r="L250" i="1"/>
  <c r="L332" i="1"/>
  <c r="L254" i="1"/>
  <c r="L268" i="1"/>
  <c r="L269" i="1"/>
  <c r="L349" i="1"/>
  <c r="L350" i="1"/>
  <c r="I665" i="1"/>
  <c r="I670" i="1"/>
  <c r="L211" i="1"/>
  <c r="L229" i="1"/>
  <c r="L247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F338" i="1" s="1"/>
  <c r="F352" i="1" s="1"/>
  <c r="G328" i="1"/>
  <c r="H328" i="1"/>
  <c r="H338" i="1" s="1"/>
  <c r="H352" i="1" s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G461" i="1" s="1"/>
  <c r="H640" i="1" s="1"/>
  <c r="J640" i="1" s="1"/>
  <c r="H460" i="1"/>
  <c r="F461" i="1"/>
  <c r="H461" i="1"/>
  <c r="F470" i="1"/>
  <c r="G470" i="1"/>
  <c r="H470" i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L257" i="1" s="1"/>
  <c r="K257" i="1"/>
  <c r="K271" i="1" s="1"/>
  <c r="I257" i="1"/>
  <c r="I271" i="1" s="1"/>
  <c r="G164" i="2"/>
  <c r="C18" i="2"/>
  <c r="C26" i="10"/>
  <c r="L328" i="1"/>
  <c r="L351" i="1"/>
  <c r="I662" i="1"/>
  <c r="A31" i="12"/>
  <c r="C70" i="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G157" i="2"/>
  <c r="F18" i="2"/>
  <c r="G161" i="2"/>
  <c r="G156" i="2"/>
  <c r="E103" i="2"/>
  <c r="D91" i="2"/>
  <c r="E62" i="2"/>
  <c r="E63" i="2" s="1"/>
  <c r="E31" i="2"/>
  <c r="G62" i="2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J643" i="1"/>
  <c r="I476" i="1"/>
  <c r="H625" i="1" s="1"/>
  <c r="J625" i="1" s="1"/>
  <c r="G338" i="1"/>
  <c r="G352" i="1" s="1"/>
  <c r="F169" i="1"/>
  <c r="J140" i="1"/>
  <c r="F571" i="1"/>
  <c r="H257" i="1"/>
  <c r="H271" i="1" s="1"/>
  <c r="I552" i="1"/>
  <c r="K550" i="1"/>
  <c r="G22" i="2"/>
  <c r="K545" i="1"/>
  <c r="J552" i="1"/>
  <c r="H552" i="1"/>
  <c r="C29" i="10"/>
  <c r="H140" i="1"/>
  <c r="L401" i="1"/>
  <c r="C139" i="2" s="1"/>
  <c r="F22" i="13"/>
  <c r="H25" i="13"/>
  <c r="C25" i="13" s="1"/>
  <c r="H571" i="1"/>
  <c r="L560" i="1"/>
  <c r="J545" i="1"/>
  <c r="G192" i="1"/>
  <c r="H192" i="1"/>
  <c r="F552" i="1"/>
  <c r="C35" i="10"/>
  <c r="L309" i="1"/>
  <c r="E16" i="13"/>
  <c r="C16" i="13" s="1"/>
  <c r="L570" i="1"/>
  <c r="I571" i="1"/>
  <c r="J636" i="1"/>
  <c r="G36" i="2"/>
  <c r="L565" i="1"/>
  <c r="G545" i="1"/>
  <c r="H545" i="1"/>
  <c r="K551" i="1"/>
  <c r="C22" i="13"/>
  <c r="D127" i="2" l="1"/>
  <c r="D128" i="2" s="1"/>
  <c r="A13" i="12"/>
  <c r="L290" i="1"/>
  <c r="E109" i="2"/>
  <c r="E115" i="2" s="1"/>
  <c r="L271" i="1"/>
  <c r="G632" i="1" s="1"/>
  <c r="C25" i="10"/>
  <c r="C32" i="10"/>
  <c r="H33" i="13"/>
  <c r="H660" i="1"/>
  <c r="D29" i="13"/>
  <c r="C29" i="13" s="1"/>
  <c r="G661" i="1"/>
  <c r="C20" i="10"/>
  <c r="C110" i="2"/>
  <c r="G257" i="1"/>
  <c r="G271" i="1" s="1"/>
  <c r="F257" i="1"/>
  <c r="F271" i="1" s="1"/>
  <c r="D5" i="13"/>
  <c r="C5" i="13" s="1"/>
  <c r="F660" i="1"/>
  <c r="E33" i="13"/>
  <c r="D35" i="13" s="1"/>
  <c r="C115" i="2"/>
  <c r="K598" i="1"/>
  <c r="G647" i="1" s="1"/>
  <c r="J647" i="1" s="1"/>
  <c r="J649" i="1"/>
  <c r="G552" i="1"/>
  <c r="L529" i="1"/>
  <c r="L545" i="1" s="1"/>
  <c r="K549" i="1"/>
  <c r="K552" i="1" s="1"/>
  <c r="F476" i="1"/>
  <c r="H622" i="1" s="1"/>
  <c r="J622" i="1" s="1"/>
  <c r="G476" i="1"/>
  <c r="H623" i="1" s="1"/>
  <c r="J623" i="1" s="1"/>
  <c r="J634" i="1"/>
  <c r="F661" i="1"/>
  <c r="L362" i="1"/>
  <c r="C27" i="10" s="1"/>
  <c r="D145" i="2"/>
  <c r="H661" i="1"/>
  <c r="H476" i="1"/>
  <c r="H624" i="1" s="1"/>
  <c r="J624" i="1" s="1"/>
  <c r="C16" i="10"/>
  <c r="C10" i="10"/>
  <c r="E128" i="2"/>
  <c r="C81" i="2"/>
  <c r="C62" i="2"/>
  <c r="C63" i="2" s="1"/>
  <c r="I460" i="1"/>
  <c r="I461" i="1" s="1"/>
  <c r="H642" i="1" s="1"/>
  <c r="J642" i="1" s="1"/>
  <c r="H408" i="1"/>
  <c r="H644" i="1" s="1"/>
  <c r="J644" i="1" s="1"/>
  <c r="G408" i="1"/>
  <c r="H645" i="1" s="1"/>
  <c r="J645" i="1" s="1"/>
  <c r="H52" i="1"/>
  <c r="H619" i="1" s="1"/>
  <c r="J619" i="1" s="1"/>
  <c r="J617" i="1"/>
  <c r="K503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I660" i="1" l="1"/>
  <c r="G664" i="1"/>
  <c r="G667" i="1" s="1"/>
  <c r="D31" i="13"/>
  <c r="C31" i="13" s="1"/>
  <c r="F664" i="1"/>
  <c r="F672" i="1" s="1"/>
  <c r="C4" i="10" s="1"/>
  <c r="E145" i="2"/>
  <c r="G635" i="1"/>
  <c r="J635" i="1" s="1"/>
  <c r="I661" i="1"/>
  <c r="I664" i="1" s="1"/>
  <c r="I672" i="1" s="1"/>
  <c r="C7" i="10" s="1"/>
  <c r="H664" i="1"/>
  <c r="H672" i="1" s="1"/>
  <c r="C6" i="10" s="1"/>
  <c r="C28" i="10"/>
  <c r="D12" i="10" s="1"/>
  <c r="C104" i="2"/>
  <c r="G672" i="1"/>
  <c r="C5" i="10" s="1"/>
  <c r="G104" i="2"/>
  <c r="H646" i="1"/>
  <c r="J646" i="1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F667" i="1" l="1"/>
  <c r="H667" i="1"/>
  <c r="C30" i="10"/>
  <c r="D16" i="10"/>
  <c r="D19" i="10"/>
  <c r="D22" i="10"/>
  <c r="D10" i="10"/>
  <c r="D23" i="10"/>
  <c r="D26" i="10"/>
  <c r="D15" i="10"/>
  <c r="D11" i="10"/>
  <c r="D27" i="10"/>
  <c r="D17" i="10"/>
  <c r="D24" i="10"/>
  <c r="D20" i="10"/>
  <c r="D25" i="10"/>
  <c r="D13" i="10"/>
  <c r="D21" i="10"/>
  <c r="D18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<sst xmlns="http://schemas.openxmlformats.org/spreadsheetml/2006/main" count="3961" uniqueCount="914">
  <si>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</si>
  <si>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</si>
  <si>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</si>
  <si>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</si>
  <si>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</si>
  <si>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</si>
  <si>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</si>
  <si>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</si>
  <si>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</si>
  <si>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</si>
  <si>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</si>
  <si>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</si>
  <si>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</si>
  <si>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</si>
  <si>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</si>
  <si>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</si>
  <si>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</si>
  <si>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</si>
  <si>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</si>
  <si>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</si>
  <si>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</si>
  <si>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</si>
  <si>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</si>
  <si>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</si>
  <si>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</si>
  <si>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</si>
  <si>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</si>
  <si>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</si>
  <si>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</si>
  <si>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</si>
  <si>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</si>
  <si>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</si>
  <si>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</si>
  <si>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</si>
  <si>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</si>
  <si>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</si>
  <si>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</si>
  <si>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</si>
  <si>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</si>
  <si>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</si>
  <si>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</si>
  <si>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</si>
  <si>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</si>
  <si>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</si>
  <si>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</si>
  <si>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</si>
  <si>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</si>
  <si>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</si>
  <si>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</si>
  <si>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</si>
  <si>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</si>
  <si>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</si>
  <si>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</si>
  <si>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</si>
  <si>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</si>
  <si>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</si>
  <si>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</si>
  <si>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</si>
  <si>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</si>
  <si>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</si>
  <si>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</si>
  <si>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</si>
  <si>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</si>
  <si>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</si>
  <si>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</si>
  <si>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</si>
  <si>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</si>
  <si>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</si>
  <si>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</si>
  <si>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</si>
  <si>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</si>
  <si>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</si>
  <si>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</si>
  <si>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</si>
  <si>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</si>
  <si>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</si>
  <si>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</si>
  <si>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</si>
  <si>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</si>
  <si>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</si>
  <si>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</si>
  <si>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</si>
  <si>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</si>
  <si>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</si>
  <si>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</si>
  <si>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</si>
  <si>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</si>
  <si>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</si>
  <si>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</si>
  <si>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</si>
  <si>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</si>
  <si>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</si>
  <si>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</si>
  <si>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</si>
  <si>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</si>
  <si>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</si>
  <si>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</si>
  <si>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</si>
  <si>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</si>
  <si>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</si>
  <si>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</si>
  <si>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</si>
  <si>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</si>
  <si>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</si>
  <si>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</si>
  <si>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</si>
  <si>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</si>
  <si>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</si>
  <si>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</si>
  <si>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</si>
  <si>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</si>
  <si>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</si>
  <si>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</si>
  <si>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</si>
  <si>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</si>
  <si>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</si>
  <si>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</si>
  <si>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</si>
  <si>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</si>
  <si>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</si>
  <si>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</si>
  <si>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</si>
  <si>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</si>
  <si>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</si>
  <si>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</si>
  <si>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</si>
  <si>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</si>
  <si>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</si>
  <si>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</si>
  <si>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</si>
  <si>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</si>
  <si>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</si>
  <si>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</si>
  <si>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</si>
  <si>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</si>
  <si>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</si>
  <si>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</si>
  <si>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</si>
  <si>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</si>
  <si>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</si>
  <si>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</si>
  <si>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</si>
  <si>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</si>
  <si>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</si>
  <si>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</si>
  <si>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</si>
  <si>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</si>
  <si>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</si>
  <si>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</si>
  <si>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</si>
  <si>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</si>
  <si>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</si>
  <si>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</si>
  <si>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</si>
  <si>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</si>
  <si>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</si>
  <si>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</si>
  <si>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</si>
  <si>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</si>
  <si>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</si>
  <si>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</si>
  <si>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</si>
  <si>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</si>
  <si>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</si>
  <si>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</si>
  <si>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</si>
  <si>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</si>
  <si>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</si>
  <si>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</si>
  <si>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</si>
  <si>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</si>
  <si>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</si>
  <si>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</si>
  <si>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</si>
  <si>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</si>
  <si>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</si>
  <si>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</si>
  <si>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</si>
  <si>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</si>
  <si>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</si>
  <si>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</si>
  <si>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</si>
  <si>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</si>
  <si>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</si>
  <si>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</si>
  <si>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</si>
  <si>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</si>
  <si>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</si>
  <si>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</si>
  <si>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</si>
  <si>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</si>
  <si>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</si>
  <si>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</si>
  <si>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</si>
  <si>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</si>
  <si>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</si>
  <si>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</si>
  <si>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</si>
  <si>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</si>
  <si>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</si>
  <si>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</si>
  <si>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</si>
  <si>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</si>
  <si>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</si>
  <si>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</si>
  <si>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</si>
  <si>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</si>
  <si>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</si>
  <si>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</si>
  <si>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</si>
  <si>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</si>
  <si>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</si>
  <si>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</si>
  <si>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</si>
  <si>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</si>
  <si>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</si>
  <si>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</si>
  <si>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</si>
  <si>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</si>
  <si>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</si>
  <si>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</si>
  <si>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</si>
  <si>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</si>
  <si>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</si>
  <si>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</si>
  <si>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</si>
  <si>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</si>
  <si>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</si>
  <si>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</si>
  <si>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</si>
  <si>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</si>
  <si>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</si>
  <si>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</si>
  <si>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</si>
  <si>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</si>
  <si>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</si>
  <si>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</si>
  <si>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</si>
  <si>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</si>
  <si>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</si>
  <si>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</si>
  <si>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</si>
  <si>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</si>
  <si>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</si>
  <si>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</si>
  <si>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</si>
  <si>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</si>
  <si>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</si>
  <si>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</si>
  <si>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</si>
  <si>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</si>
  <si>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</si>
  <si>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</si>
  <si>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</si>
  <si>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</si>
  <si>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</si>
  <si>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</si>
  <si>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</si>
  <si>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</si>
  <si>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</si>
  <si>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</si>
  <si>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</si>
  <si>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</si>
  <si>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</si>
  <si>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</si>
  <si>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</si>
  <si>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</si>
  <si>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</si>
  <si>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</si>
  <si>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</si>
  <si>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</si>
  <si>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</si>
  <si>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</si>
  <si>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</si>
  <si>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</si>
  <si>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</si>
  <si>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</si>
  <si>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</si>
  <si>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</si>
  <si>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</si>
  <si>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</si>
  <si>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</si>
  <si>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</si>
  <si>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</si>
  <si>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</si>
  <si>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</si>
  <si>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</si>
  <si>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</si>
  <si>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</si>
  <si>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</si>
  <si>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</si>
  <si>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</si>
  <si>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</si>
  <si>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</si>
  <si>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</si>
  <si>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</si>
  <si>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</si>
  <si>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</si>
  <si>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</si>
  <si>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</si>
  <si>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</si>
  <si>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</si>
  <si>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</si>
  <si>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</si>
  <si>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</si>
  <si>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</si>
  <si>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</si>
  <si>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</si>
  <si>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</si>
  <si>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</si>
  <si>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</si>
  <si>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</si>
  <si>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</si>
  <si>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</si>
  <si>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</si>
  <si>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</si>
  <si>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</si>
  <si>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</si>
  <si>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</si>
  <si>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</si>
  <si>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</si>
  <si>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</si>
  <si>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</si>
  <si>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</si>
  <si>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</si>
  <si>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</si>
  <si>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</si>
  <si>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</si>
  <si>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</si>
  <si>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</si>
  <si>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</si>
  <si>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</si>
  <si>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</si>
  <si>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</si>
  <si>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</si>
  <si>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</si>
  <si>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</si>
  <si>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</si>
  <si>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</si>
  <si>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</si>
  <si>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</si>
  <si>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</si>
  <si>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</si>
  <si>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</si>
  <si>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</si>
  <si>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</si>
  <si>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</si>
  <si>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</si>
  <si>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</si>
  <si>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</si>
  <si>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</si>
  <si>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</si>
  <si>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</si>
  <si>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</si>
  <si>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</si>
  <si>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</si>
  <si>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</si>
  <si>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</si>
  <si>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</si>
  <si>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</si>
  <si>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</si>
  <si>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</si>
  <si>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</si>
  <si>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</si>
  <si>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</si>
  <si>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</si>
  <si>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</si>
  <si>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</si>
  <si>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</si>
  <si>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</si>
  <si>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</si>
  <si>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</si>
  <si>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</si>
  <si>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</si>
  <si>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</si>
  <si>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</si>
  <si>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</si>
  <si>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</si>
  <si>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</si>
  <si>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</si>
  <si>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</si>
  <si>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</si>
  <si>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</si>
  <si>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</si>
  <si>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</si>
  <si>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</si>
  <si>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</si>
  <si>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</si>
  <si>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</si>
  <si>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</si>
  <si>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</si>
  <si>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</si>
  <si>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</si>
  <si>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</si>
  <si>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</si>
  <si>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</si>
  <si>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</si>
  <si>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</si>
  <si>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</si>
  <si>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</si>
  <si>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</si>
  <si>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</si>
  <si>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</si>
  <si>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</si>
  <si>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</si>
  <si>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</si>
  <si>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</si>
  <si>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</si>
  <si>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</si>
  <si>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</si>
  <si>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</si>
  <si>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</si>
  <si>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</si>
  <si>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</si>
  <si>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</si>
  <si>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</si>
  <si>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</si>
  <si>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</si>
  <si>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</si>
  <si>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</si>
  <si>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</si>
  <si>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</si>
  <si>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</si>
  <si>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</si>
  <si>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</si>
  <si>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</si>
  <si>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</si>
  <si>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</si>
  <si>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</si>
  <si>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</si>
  <si>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</si>
  <si>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</si>
  <si>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</si>
  <si>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</si>
  <si>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</si>
  <si>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</si>
  <si>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</si>
  <si>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</si>
  <si>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</si>
  <si>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</si>
  <si>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</si>
  <si>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</si>
  <si>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</si>
  <si>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</si>
  <si>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</si>
  <si>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</si>
  <si>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</si>
  <si>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</si>
  <si>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</si>
  <si>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</si>
  <si>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</si>
  <si>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</si>
  <si>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</si>
  <si>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</si>
  <si>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</si>
  <si>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</si>
  <si>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</si>
  <si>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</si>
  <si>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</si>
  <si>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</si>
  <si>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</si>
  <si>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</si>
  <si>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</si>
  <si>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</si>
  <si>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</si>
  <si>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</si>
  <si>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</si>
  <si>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</si>
  <si>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</si>
  <si>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</si>
  <si>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</si>
  <si>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</si>
  <si>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</si>
  <si>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</si>
  <si>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</si>
  <si>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</si>
  <si>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</si>
  <si>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</si>
  <si>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</si>
  <si>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</si>
  <si>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</si>
  <si>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</si>
  <si>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</si>
  <si>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</si>
  <si>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</si>
  <si>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</si>
  <si>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</si>
  <si>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</si>
  <si>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</si>
  <si>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</si>
  <si>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</si>
  <si>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</si>
  <si>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</si>
  <si>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</si>
  <si>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</si>
  <si>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</si>
  <si>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</si>
  <si>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</si>
  <si>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</si>
  <si>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</si>
  <si>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</si>
  <si>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</si>
  <si>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</si>
  <si>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</si>
  <si>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</si>
  <si>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</si>
  <si>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</si>
  <si>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</si>
  <si>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</si>
  <si>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</si>
  <si>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</si>
  <si>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</si>
  <si>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</si>
  <si>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</si>
  <si>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</si>
  <si>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</si>
  <si>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</si>
  <si>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</si>
  <si>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</si>
  <si>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</si>
  <si>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</si>
  <si>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</si>
  <si>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</si>
  <si>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</si>
  <si>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</si>
  <si>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</si>
  <si>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</si>
  <si>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</si>
  <si>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</si>
  <si>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</si>
  <si>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</si>
  <si>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</si>
  <si>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</si>
  <si>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</si>
  <si>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</si>
  <si>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</si>
  <si>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</si>
  <si>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</si>
  <si>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</si>
  <si>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</si>
  <si>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</si>
  <si>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</si>
  <si>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</si>
  <si>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</si>
  <si>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</si>
  <si>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</si>
  <si>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</si>
  <si>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</si>
  <si>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</si>
  <si>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</si>
  <si>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</si>
  <si>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</si>
  <si>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</si>
  <si>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</si>
  <si>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</si>
  <si>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</si>
  <si>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</si>
  <si>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</si>
  <si>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</si>
  <si>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</si>
  <si>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</si>
  <si>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</si>
  <si>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</si>
  <si>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</si>
  <si>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</si>
  <si>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</si>
  <si>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</si>
  <si>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</si>
  <si>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</si>
  <si>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</si>
  <si>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</si>
  <si>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</si>
  <si>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</si>
  <si>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</si>
  <si>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</si>
  <si>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</si>
  <si>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</si>
  <si>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</si>
  <si>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</si>
  <si>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</si>
  <si>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</si>
  <si>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</si>
  <si>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</si>
  <si>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</si>
  <si>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</si>
  <si>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</si>
  <si>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</si>
  <si>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</si>
  <si>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</si>
  <si>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</si>
  <si>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</si>
  <si>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</si>
  <si>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</si>
  <si>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</si>
  <si>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</si>
  <si>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</si>
  <si>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</si>
  <si>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</si>
  <si>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</si>
  <si>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</si>
  <si>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</si>
  <si>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</si>
  <si>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</si>
  <si>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</si>
  <si>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</si>
  <si>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</si>
  <si>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</si>
  <si>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</si>
  <si>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</si>
  <si>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</si>
  <si>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</si>
  <si>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</si>
  <si>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</si>
  <si>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</si>
  <si>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</si>
  <si>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</si>
  <si>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</si>
  <si>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</si>
  <si>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</si>
  <si>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</si>
  <si>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</si>
  <si>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</si>
  <si>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</si>
  <si>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</si>
  <si>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</si>
  <si>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</si>
  <si>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</si>
  <si>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</si>
  <si>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</si>
  <si>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</si>
  <si>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</si>
  <si>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</si>
  <si>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</si>
  <si>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</si>
  <si>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</si>
  <si>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</si>
  <si>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</si>
  <si>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</si>
  <si>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</si>
  <si>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</si>
  <si>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</si>
  <si>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</si>
  <si>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</si>
  <si>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</si>
  <si>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</si>
  <si>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</si>
  <si>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</si>
  <si>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</si>
  <si>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</si>
  <si>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</si>
  <si>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</si>
  <si>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</si>
  <si>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</si>
  <si>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</si>
  <si>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</si>
  <si>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</si>
  <si>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</si>
  <si>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</si>
  <si>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</si>
  <si>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</si>
  <si>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</si>
  <si>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</si>
  <si>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</si>
  <si>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</si>
  <si>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</si>
  <si>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</si>
  <si>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</si>
  <si>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</si>
  <si>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</si>
  <si>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</si>
  <si>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</si>
  <si>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</si>
  <si>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</si>
  <si>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</si>
  <si>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</si>
  <si>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</si>
  <si>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</si>
  <si>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</si>
  <si>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</si>
  <si>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</si>
  <si>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</si>
  <si>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</si>
  <si>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</si>
  <si>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</si>
  <si>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</si>
  <si>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</si>
  <si>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</si>
  <si>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</si>
  <si>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</si>
  <si>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</si>
  <si>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</si>
  <si>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</si>
  <si>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</si>
  <si>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</si>
  <si>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</si>
  <si>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</si>
  <si>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</si>
  <si>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</si>
  <si>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</si>
  <si>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</si>
  <si>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</si>
  <si>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</si>
  <si>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</si>
  <si>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</si>
  <si>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</si>
  <si>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</si>
  <si>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</si>
  <si>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</si>
  <si>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</si>
  <si>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</si>
  <si>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</si>
  <si>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</si>
  <si>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</si>
  <si>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</si>
  <si>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</si>
  <si>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</si>
  <si>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</si>
  <si>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</si>
  <si>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</si>
  <si>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</si>
  <si>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</si>
  <si>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</si>
  <si>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</si>
  <si>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</si>
  <si>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</si>
  <si>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</si>
  <si>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</si>
  <si>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</si>
  <si>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</si>
  <si>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</si>
  <si>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</si>
  <si>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</si>
  <si>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</si>
  <si>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</si>
  <si>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</si>
  <si>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</si>
  <si>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</si>
  <si>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</si>
  <si>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</si>
  <si>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</si>
  <si>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</si>
  <si>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</si>
  <si>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</si>
  <si>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</si>
  <si>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</si>
  <si>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</si>
  <si>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</si>
  <si>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</si>
  <si>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</si>
  <si>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</si>
  <si>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</si>
  <si>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</si>
  <si>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</si>
  <si>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</si>
  <si>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</si>
  <si>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</si>
  <si>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</si>
  <si>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</si>
  <si>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</si>
  <si>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</si>
  <si>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</si>
  <si>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</si>
  <si>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</si>
  <si>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</si>
  <si>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</si>
  <si>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</si>
  <si>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</si>
  <si>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</si>
  <si>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</si>
  <si>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</si>
  <si>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</si>
  <si>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</si>
  <si>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</si>
  <si>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</si>
  <si>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</si>
  <si>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</si>
  <si>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</si>
  <si>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</si>
  <si>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</si>
  <si>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</si>
  <si>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</si>
  <si>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</si>
  <si>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</si>
  <si>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</si>
  <si>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</si>
  <si>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</si>
  <si>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</si>
  <si>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</si>
  <si>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</si>
  <si>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</si>
  <si>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</si>
  <si>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</si>
  <si>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</si>
  <si>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</si>
  <si>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</si>
  <si>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</si>
  <si>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</si>
  <si>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</si>
  <si>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</si>
  <si>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</si>
  <si>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</si>
  <si>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</si>
  <si>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</si>
  <si>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</si>
  <si>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</si>
  <si>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</si>
  <si>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</si>
  <si>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</si>
  <si>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</si>
  <si>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</si>
  <si>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</si>
  <si>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</si>
  <si>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</si>
  <si>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</si>
  <si>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</si>
  <si>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</si>
  <si>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</si>
  <si>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</si>
  <si>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</si>
  <si>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</si>
  <si>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</si>
  <si>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</si>
  <si>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</si>
  <si>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</si>
  <si>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</si>
  <si>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</si>
  <si>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</si>
  <si>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</si>
  <si>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</si>
  <si>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</si>
  <si>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</si>
  <si>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</si>
  <si>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</si>
  <si>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</si>
  <si>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</si>
  <si>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</si>
  <si>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</si>
  <si>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</si>
  <si>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</si>
  <si>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</si>
  <si>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</si>
  <si>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</si>
  <si>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</si>
  <si>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</si>
  <si>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</si>
  <si>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</si>
  <si>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</si>
  <si>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</si>
  <si>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</si>
  <si>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</si>
  <si>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</si>
  <si>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</si>
  <si>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</si>
  <si>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</si>
  <si>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</si>
  <si>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</si>
  <si>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</si>
  <si>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</si>
  <si>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</si>
  <si>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</si>
  <si>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</si>
  <si>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</si>
  <si>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</si>
  <si>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</si>
  <si>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</si>
  <si>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</si>
  <si>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</si>
  <si>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</si>
  <si>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</si>
  <si>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</si>
  <si>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</si>
  <si>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</si>
  <si>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</si>
  <si>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</si>
  <si>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</si>
  <si>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</si>
  <si>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</si>
  <si>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</si>
  <si>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</si>
  <si>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</si>
  <si>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</si>
  <si>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</si>
  <si>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</si>
  <si>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</si>
  <si>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</si>
  <si>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</si>
  <si>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</si>
  <si>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</si>
  <si>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</si>
  <si>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</si>
  <si>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</si>
  <si>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</si>
  <si>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</si>
  <si>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</si>
  <si>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</si>
  <si>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</si>
  <si>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</si>
  <si>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</si>
  <si>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</si>
  <si>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</si>
  <si>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</si>
  <si>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</si>
  <si>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</si>
  <si>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</si>
  <si>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</si>
  <si>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</si>
  <si>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</si>
  <si>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</si>
  <si>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</si>
  <si>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</si>
  <si>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</si>
  <si>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PITSBURG SCHOOL DISTRICT</t>
  </si>
  <si>
    <t>July 1999</t>
  </si>
  <si>
    <t>August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</si>
</sst>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334" activePane="bottomRight" state="frozen"/>
      <selection pane="topRight" activeCell="F1" sqref="F1"/>
      <selection pane="bottomLeft" activeCell="A4" sqref="A4"/>
      <selection pane="bottomRight" activeCell="K358" sqref="K358:K3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437</v>
      </c>
      <c r="C2" s="21">
        <v>437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283575.72-8000</f>
        <v>275575.71999999997</v>
      </c>
      <c r="G9" s="18">
        <f>3556.53+8000</f>
        <v>11556.53</v>
      </c>
      <c r="H9" s="18"/>
      <c r="I9" s="18"/>
      <c r="J9" s="67">
        <f>SUM(I439)</f>
        <v>578652.94999999995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19468.650000000001</v>
      </c>
      <c r="G12" s="18"/>
      <c r="H12" s="18">
        <v>1000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16335.19+8849.62</f>
        <v>25184.81</v>
      </c>
      <c r="G13" s="18">
        <v>1258.1099999999999</v>
      </c>
      <c r="H13" s="18">
        <f>18651.2+1579.81+237.82</f>
        <v>20468.830000000002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96.3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987.65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320229.18</v>
      </c>
      <c r="G19" s="41">
        <f>SUM(G9:G18)</f>
        <v>13898.59</v>
      </c>
      <c r="H19" s="41">
        <f>SUM(H9:H18)</f>
        <v>21468.83</v>
      </c>
      <c r="I19" s="41">
        <f>SUM(I9:I18)</f>
        <v>0</v>
      </c>
      <c r="J19" s="41">
        <f>SUM(J9:J18)</f>
        <v>578652.94999999995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20231.01+237.82</f>
        <v>20468.829999999998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8249.5499999999993</v>
      </c>
      <c r="G24" s="18">
        <f>1481.26+367.03</f>
        <v>1848.29</v>
      </c>
      <c r="H24" s="18">
        <v>503.17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4224.82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312.51+382.2+8993.36</f>
        <v>9688.07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4424.8100000000004</v>
      </c>
      <c r="G30" s="18"/>
      <c r="H30" s="18">
        <v>496.83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26587.25</v>
      </c>
      <c r="G32" s="41">
        <f>SUM(G22:G31)</f>
        <v>1848.29</v>
      </c>
      <c r="H32" s="41">
        <f>SUM(H22:H31)</f>
        <v>21468.829999999998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987.65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12433.62+44354.81-53725.78+8000</f>
        <v>11062.650000000001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 t="s">
        <v>287</v>
      </c>
      <c r="H48" s="18"/>
      <c r="I48" s="18"/>
      <c r="J48" s="13">
        <f>SUM(I459)</f>
        <v>578652.94999999995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16968.759999999998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240492.95+2763068.08-2731312.67+4424.81</f>
        <v>276673.17000000033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293641.93000000034</v>
      </c>
      <c r="G51" s="41">
        <f>SUM(G35:G50)</f>
        <v>12050.300000000001</v>
      </c>
      <c r="H51" s="41">
        <f>SUM(H35:H50)</f>
        <v>0</v>
      </c>
      <c r="I51" s="41">
        <f>SUM(I35:I50)</f>
        <v>0</v>
      </c>
      <c r="J51" s="41">
        <f>SUM(J35:J50)</f>
        <v>578652.94999999995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320229.18000000034</v>
      </c>
      <c r="G52" s="41">
        <f>G51+G32</f>
        <v>13898.59</v>
      </c>
      <c r="H52" s="41">
        <f>H51+H32</f>
        <v>21468.829999999998</v>
      </c>
      <c r="I52" s="41">
        <f>I51+I32</f>
        <v>0</v>
      </c>
      <c r="J52" s="41">
        <f>J51+J32</f>
        <v>578652.94999999995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1648770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1648770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313260.01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313260.01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166.28</v>
      </c>
      <c r="G96" s="18"/>
      <c r="H96" s="18"/>
      <c r="I96" s="18"/>
      <c r="J96" s="18">
        <v>57.75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15580.38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29453.79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23903.439999999999</v>
      </c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f>36134.97+4424.81</f>
        <v>40559.78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1778.58</v>
      </c>
      <c r="G110" s="18"/>
      <c r="H110" s="18">
        <f>503.17+4131.26</f>
        <v>4634.43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95861.87</v>
      </c>
      <c r="G111" s="41">
        <f>SUM(G96:G110)</f>
        <v>15580.38</v>
      </c>
      <c r="H111" s="41">
        <f>SUM(H96:H110)</f>
        <v>4634.43</v>
      </c>
      <c r="I111" s="41">
        <f>SUM(I96:I110)</f>
        <v>0</v>
      </c>
      <c r="J111" s="41">
        <f>SUM(J96:J110)</f>
        <v>57.75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2057891.88</v>
      </c>
      <c r="G112" s="41">
        <f>G60+G111</f>
        <v>15580.38</v>
      </c>
      <c r="H112" s="41">
        <f>H60+H79+H94+H111</f>
        <v>4634.43</v>
      </c>
      <c r="I112" s="41">
        <f>I60+I111</f>
        <v>0</v>
      </c>
      <c r="J112" s="41">
        <f>J60+J111</f>
        <v>57.75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35370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595816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631186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77417.919999999998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719.43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77417.919999999998</v>
      </c>
      <c r="G136" s="41">
        <f>SUM(G123:G135)</f>
        <v>719.43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708603.92</v>
      </c>
      <c r="G140" s="41">
        <f>G121+SUM(G136:G137)</f>
        <v>719.43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45513.74</f>
        <v>45513.74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1579.81+4632.48</f>
        <v>6212.2899999999991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28055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997.09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4466.21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997.09</v>
      </c>
      <c r="G162" s="41">
        <f>SUM(G150:G161)</f>
        <v>28055</v>
      </c>
      <c r="H162" s="41">
        <f>SUM(H150:H161)</f>
        <v>56192.24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997.09</v>
      </c>
      <c r="G169" s="41">
        <f>G147+G162+SUM(G163:G168)</f>
        <v>28055</v>
      </c>
      <c r="H169" s="41">
        <f>H147+H162+SUM(H163:H168)</f>
        <v>56192.24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8000</v>
      </c>
      <c r="H179" s="18"/>
      <c r="I179" s="18"/>
      <c r="J179" s="18">
        <v>40000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8000</v>
      </c>
      <c r="H183" s="41">
        <f>SUM(H179:H182)</f>
        <v>0</v>
      </c>
      <c r="I183" s="41">
        <f>SUM(I179:I182)</f>
        <v>0</v>
      </c>
      <c r="J183" s="41">
        <f>SUM(J179:J182)</f>
        <v>40000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8000</v>
      </c>
      <c r="H192" s="41">
        <f>+H183+SUM(H188:H191)</f>
        <v>0</v>
      </c>
      <c r="I192" s="41">
        <f>I177+I183+SUM(I188:I191)</f>
        <v>0</v>
      </c>
      <c r="J192" s="41">
        <f>J183</f>
        <v>40000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2767492.8899999997</v>
      </c>
      <c r="G193" s="47">
        <f>G112+G140+G169+G192</f>
        <v>52354.81</v>
      </c>
      <c r="H193" s="47">
        <f>H112+H140+H169+H192</f>
        <v>60826.67</v>
      </c>
      <c r="I193" s="47">
        <f>I112+I140+I169+I192</f>
        <v>0</v>
      </c>
      <c r="J193" s="47">
        <f>J112+J140+J192</f>
        <v>40057.75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407951.71</v>
      </c>
      <c r="G197" s="18">
        <v>252679.46</v>
      </c>
      <c r="H197" s="18">
        <f>1306.97+2064.9</f>
        <v>3371.87</v>
      </c>
      <c r="I197" s="18">
        <v>10769.3</v>
      </c>
      <c r="J197" s="18">
        <v>45.03</v>
      </c>
      <c r="K197" s="18"/>
      <c r="L197" s="19">
        <f>SUM(F197:K197)</f>
        <v>674817.37000000011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8671.03+70072.79</f>
        <v>78743.819999999992</v>
      </c>
      <c r="G198" s="18">
        <f>4159.91+23103.57</f>
        <v>27263.48</v>
      </c>
      <c r="H198" s="18">
        <v>455</v>
      </c>
      <c r="I198" s="18">
        <f>60.14+135.29</f>
        <v>195.43</v>
      </c>
      <c r="J198" s="18"/>
      <c r="K198" s="18"/>
      <c r="L198" s="19">
        <f>SUM(F198:K198)</f>
        <v>106657.72999999998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424+798</f>
        <v>1222</v>
      </c>
      <c r="G200" s="18">
        <f>106.06+189.36</f>
        <v>295.42</v>
      </c>
      <c r="H200" s="18">
        <v>1346.5</v>
      </c>
      <c r="I200" s="18"/>
      <c r="J200" s="18"/>
      <c r="K200" s="18">
        <v>274</v>
      </c>
      <c r="L200" s="19">
        <f>SUM(F200:K200)</f>
        <v>3137.92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15078.27+950.83+873.25+5029.74+752.11+5904.37+10272.05</f>
        <v>38860.619999999995</v>
      </c>
      <c r="G202" s="18">
        <f>9083.19+14+36.71+190.46+398.74+71.55+451.73+799.82</f>
        <v>11046.199999999997</v>
      </c>
      <c r="H202" s="18">
        <f>46285.49+753.4</f>
        <v>47038.89</v>
      </c>
      <c r="I202" s="18">
        <v>3023.91</v>
      </c>
      <c r="J202" s="18">
        <f>8795.36+379.44</f>
        <v>9174.8000000000011</v>
      </c>
      <c r="K202" s="18">
        <v>500.85</v>
      </c>
      <c r="L202" s="19">
        <f t="shared" ref="L202:L208" si="0">SUM(F202:K202)</f>
        <v>109645.27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3366+25657.68</f>
        <v>29023.68</v>
      </c>
      <c r="G203" s="18">
        <f>1589.15+8711.38</f>
        <v>10300.529999999999</v>
      </c>
      <c r="H203" s="18" t="s">
        <v>287</v>
      </c>
      <c r="I203" s="18">
        <v>2068.19</v>
      </c>
      <c r="J203" s="18"/>
      <c r="K203" s="18">
        <f>1681.75+1995</f>
        <v>3676.75</v>
      </c>
      <c r="L203" s="19">
        <f t="shared" si="0"/>
        <v>45069.15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1301.6+1000</f>
        <v>2301.6</v>
      </c>
      <c r="G204" s="18">
        <f>118.09+218.14</f>
        <v>336.23</v>
      </c>
      <c r="H204" s="18">
        <f>141385.95+5864.4</f>
        <v>147250.35</v>
      </c>
      <c r="I204" s="18">
        <v>245.25</v>
      </c>
      <c r="J204" s="18"/>
      <c r="K204" s="18">
        <v>2091.4299999999998</v>
      </c>
      <c r="L204" s="19">
        <f t="shared" si="0"/>
        <v>152224.85999999999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53139.65</v>
      </c>
      <c r="G205" s="18">
        <v>22266.63</v>
      </c>
      <c r="H205" s="18">
        <f>133.6+936.4+2960.37</f>
        <v>4030.37</v>
      </c>
      <c r="I205" s="18">
        <v>838.6</v>
      </c>
      <c r="J205" s="18">
        <v>154</v>
      </c>
      <c r="K205" s="18">
        <v>167.33</v>
      </c>
      <c r="L205" s="19">
        <f t="shared" si="0"/>
        <v>80596.58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43185.07</v>
      </c>
      <c r="G207" s="18">
        <v>10946.16</v>
      </c>
      <c r="H207" s="18">
        <f>9001.71+34993.59+6594.35</f>
        <v>50589.649999999994</v>
      </c>
      <c r="I207" s="18">
        <v>84342.15</v>
      </c>
      <c r="J207" s="18">
        <v>15491.97</v>
      </c>
      <c r="K207" s="18">
        <v>539.36</v>
      </c>
      <c r="L207" s="19">
        <f t="shared" si="0"/>
        <v>205094.35999999996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19766.2+2112.98</f>
        <v>21879.18</v>
      </c>
      <c r="G208" s="18">
        <f>2684.73+17+193.64</f>
        <v>2895.37</v>
      </c>
      <c r="H208" s="18">
        <f>17305.83+2290.75</f>
        <v>19596.580000000002</v>
      </c>
      <c r="I208" s="18">
        <f>12051.25+189.28</f>
        <v>12240.53</v>
      </c>
      <c r="J208" s="18"/>
      <c r="K208" s="18">
        <v>543.44000000000005</v>
      </c>
      <c r="L208" s="19">
        <f t="shared" si="0"/>
        <v>57155.100000000006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2998.8</v>
      </c>
      <c r="I209" s="18"/>
      <c r="J209" s="18"/>
      <c r="K209" s="18"/>
      <c r="L209" s="19">
        <f>SUM(F209:K209)</f>
        <v>2998.8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676307.33000000007</v>
      </c>
      <c r="G211" s="41">
        <f t="shared" si="1"/>
        <v>338029.47999999992</v>
      </c>
      <c r="H211" s="41">
        <f t="shared" si="1"/>
        <v>276678.01</v>
      </c>
      <c r="I211" s="41">
        <f t="shared" si="1"/>
        <v>113723.35999999999</v>
      </c>
      <c r="J211" s="41">
        <f t="shared" si="1"/>
        <v>24865.800000000003</v>
      </c>
      <c r="K211" s="41">
        <f t="shared" si="1"/>
        <v>7793.16</v>
      </c>
      <c r="L211" s="41">
        <f t="shared" si="1"/>
        <v>1437397.1400000004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343843</v>
      </c>
      <c r="G233" s="18">
        <v>153841.54999999999</v>
      </c>
      <c r="H233" s="18">
        <f>16909+670.75+2519.8</f>
        <v>20099.55</v>
      </c>
      <c r="I233" s="18">
        <v>9980.4</v>
      </c>
      <c r="J233" s="18">
        <v>1675.56</v>
      </c>
      <c r="K233" s="18"/>
      <c r="L233" s="19">
        <f>SUM(F233:K233)</f>
        <v>529440.06000000006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22140.799999999999</v>
      </c>
      <c r="G234" s="18">
        <v>8875.65</v>
      </c>
      <c r="H234" s="18"/>
      <c r="I234" s="18">
        <v>1584.45</v>
      </c>
      <c r="J234" s="18">
        <v>3095</v>
      </c>
      <c r="K234" s="18"/>
      <c r="L234" s="19">
        <f>SUM(F234:K234)</f>
        <v>35695.899999999994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16225</v>
      </c>
      <c r="G236" s="18">
        <v>2325.84</v>
      </c>
      <c r="H236" s="18">
        <f>23091.66+4851.23</f>
        <v>27942.89</v>
      </c>
      <c r="I236" s="18">
        <v>3058.96</v>
      </c>
      <c r="J236" s="18">
        <v>147.16999999999999</v>
      </c>
      <c r="K236" s="18">
        <v>6340.31</v>
      </c>
      <c r="L236" s="19">
        <f>SUM(F236:K236)</f>
        <v>56040.169999999991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33903.839999999997</v>
      </c>
      <c r="G238" s="18">
        <v>21783.93</v>
      </c>
      <c r="H238" s="18">
        <f>13230.82+204+1029.76</f>
        <v>14464.58</v>
      </c>
      <c r="I238" s="18">
        <v>3678.47</v>
      </c>
      <c r="J238" s="18">
        <v>19266.64</v>
      </c>
      <c r="K238" s="18">
        <v>447.15</v>
      </c>
      <c r="L238" s="19">
        <f t="shared" ref="L238:L244" si="4">SUM(F238:K238)</f>
        <v>93544.609999999986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26787.82</v>
      </c>
      <c r="G239" s="18">
        <v>8946.59</v>
      </c>
      <c r="H239" s="18">
        <f>2946.43+214</f>
        <v>3160.43</v>
      </c>
      <c r="I239" s="18">
        <v>293.19</v>
      </c>
      <c r="J239" s="18"/>
      <c r="K239" s="18">
        <f>386.1+855</f>
        <v>1241.0999999999999</v>
      </c>
      <c r="L239" s="19">
        <f t="shared" si="4"/>
        <v>40429.130000000005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1018.4</v>
      </c>
      <c r="G240" s="18">
        <v>90.88</v>
      </c>
      <c r="H240" s="18">
        <f>60809.49+2513.32</f>
        <v>63322.81</v>
      </c>
      <c r="I240" s="18">
        <v>639.82000000000005</v>
      </c>
      <c r="J240" s="18"/>
      <c r="K240" s="18">
        <v>947.47</v>
      </c>
      <c r="L240" s="19">
        <f t="shared" si="4"/>
        <v>66019.37999999999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53138.01</v>
      </c>
      <c r="G241" s="18">
        <v>20480.82</v>
      </c>
      <c r="H241" s="18">
        <f>57.25+475.6+1314.25</f>
        <v>1847.1</v>
      </c>
      <c r="I241" s="18">
        <v>673.49</v>
      </c>
      <c r="J241" s="18">
        <v>65.989999999999995</v>
      </c>
      <c r="K241" s="18">
        <v>111.42</v>
      </c>
      <c r="L241" s="19">
        <f t="shared" si="4"/>
        <v>76316.830000000016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23767.74</v>
      </c>
      <c r="G243" s="18">
        <v>11273.05</v>
      </c>
      <c r="H243" s="18">
        <f>3857.83+17899+2825.15</f>
        <v>24581.980000000003</v>
      </c>
      <c r="I243" s="18">
        <v>37700.959999999999</v>
      </c>
      <c r="J243" s="18">
        <v>6662.36</v>
      </c>
      <c r="K243" s="18">
        <v>230.14</v>
      </c>
      <c r="L243" s="19">
        <f t="shared" si="4"/>
        <v>104216.23000000001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26261.33</v>
      </c>
      <c r="G244" s="18">
        <v>2670.93</v>
      </c>
      <c r="H244" s="18">
        <f>7416.78+981.75</f>
        <v>8398.5299999999988</v>
      </c>
      <c r="I244" s="18">
        <v>5290.62</v>
      </c>
      <c r="J244" s="18"/>
      <c r="K244" s="18">
        <v>187.86</v>
      </c>
      <c r="L244" s="19">
        <f t="shared" si="4"/>
        <v>42809.270000000004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1285.2</v>
      </c>
      <c r="I245" s="18"/>
      <c r="J245" s="18"/>
      <c r="K245" s="18"/>
      <c r="L245" s="19">
        <f>SUM(F245:K245)</f>
        <v>1285.2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547085.94000000006</v>
      </c>
      <c r="G247" s="41">
        <f t="shared" si="5"/>
        <v>230289.23999999996</v>
      </c>
      <c r="H247" s="41">
        <f t="shared" si="5"/>
        <v>165103.07</v>
      </c>
      <c r="I247" s="41">
        <f t="shared" si="5"/>
        <v>62900.360000000008</v>
      </c>
      <c r="J247" s="41">
        <f t="shared" si="5"/>
        <v>30912.720000000001</v>
      </c>
      <c r="K247" s="41">
        <f t="shared" si="5"/>
        <v>9505.4499999999989</v>
      </c>
      <c r="L247" s="41">
        <f t="shared" si="5"/>
        <v>1045796.78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1223393.27</v>
      </c>
      <c r="G257" s="41">
        <f t="shared" si="8"/>
        <v>568318.71999999986</v>
      </c>
      <c r="H257" s="41">
        <f t="shared" si="8"/>
        <v>441781.08</v>
      </c>
      <c r="I257" s="41">
        <f t="shared" si="8"/>
        <v>176623.72</v>
      </c>
      <c r="J257" s="41">
        <f t="shared" si="8"/>
        <v>55778.520000000004</v>
      </c>
      <c r="K257" s="41">
        <f t="shared" si="8"/>
        <v>17298.61</v>
      </c>
      <c r="L257" s="41">
        <f t="shared" si="8"/>
        <v>2483193.9200000004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195000</v>
      </c>
      <c r="L260" s="19">
        <f>SUM(F260:K260)</f>
        <v>195000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5118.75</v>
      </c>
      <c r="L261" s="19">
        <f>SUM(F261:K261)</f>
        <v>5118.75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8000</v>
      </c>
      <c r="L263" s="19">
        <f>SUM(F263:K263)</f>
        <v>8000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40000</v>
      </c>
      <c r="L266" s="19">
        <f t="shared" si="9"/>
        <v>40000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248118.75</v>
      </c>
      <c r="L270" s="41">
        <f t="shared" si="9"/>
        <v>248118.75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1223393.27</v>
      </c>
      <c r="G271" s="42">
        <f t="shared" si="11"/>
        <v>568318.71999999986</v>
      </c>
      <c r="H271" s="42">
        <f t="shared" si="11"/>
        <v>441781.08</v>
      </c>
      <c r="I271" s="42">
        <f t="shared" si="11"/>
        <v>176623.72</v>
      </c>
      <c r="J271" s="42">
        <f t="shared" si="11"/>
        <v>55778.520000000004</v>
      </c>
      <c r="K271" s="42">
        <f t="shared" si="11"/>
        <v>265417.36</v>
      </c>
      <c r="L271" s="42">
        <f t="shared" si="11"/>
        <v>2731312.6700000004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32672.89</v>
      </c>
      <c r="G276" s="18">
        <v>12640.85</v>
      </c>
      <c r="H276" s="18"/>
      <c r="I276" s="18">
        <v>199.02</v>
      </c>
      <c r="J276" s="18"/>
      <c r="K276" s="18">
        <v>0</v>
      </c>
      <c r="L276" s="19">
        <f>SUM(F276:K276)</f>
        <v>45512.759999999995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 t="s">
        <v>287</v>
      </c>
      <c r="J281" s="18"/>
      <c r="K281" s="18">
        <v>4466.21</v>
      </c>
      <c r="L281" s="19">
        <f t="shared" ref="L281:L287" si="12">SUM(F281:K281)</f>
        <v>4466.21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758.72</v>
      </c>
      <c r="I282" s="18"/>
      <c r="J282" s="18"/>
      <c r="K282" s="18">
        <v>1000</v>
      </c>
      <c r="L282" s="19">
        <f t="shared" si="12"/>
        <v>1758.72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200</v>
      </c>
      <c r="L285" s="19">
        <f t="shared" si="12"/>
        <v>200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32672.89</v>
      </c>
      <c r="G290" s="42">
        <f t="shared" si="13"/>
        <v>12640.85</v>
      </c>
      <c r="H290" s="42">
        <f t="shared" si="13"/>
        <v>758.72</v>
      </c>
      <c r="I290" s="42">
        <f t="shared" si="13"/>
        <v>199.02</v>
      </c>
      <c r="J290" s="42">
        <f t="shared" si="13"/>
        <v>0</v>
      </c>
      <c r="K290" s="42">
        <f t="shared" si="13"/>
        <v>5666.21</v>
      </c>
      <c r="L290" s="41">
        <f t="shared" si="13"/>
        <v>51937.689999999995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304.14999999999998</v>
      </c>
      <c r="J314" s="18">
        <v>4131.26</v>
      </c>
      <c r="K314" s="18"/>
      <c r="L314" s="19">
        <f>SUM(F314:K314)</f>
        <v>4435.41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1657.5</v>
      </c>
      <c r="G320" s="18">
        <v>361.49</v>
      </c>
      <c r="H320" s="18">
        <f>1000+534.58</f>
        <v>1534.58</v>
      </c>
      <c r="I320" s="18"/>
      <c r="J320" s="18"/>
      <c r="K320" s="18">
        <v>900</v>
      </c>
      <c r="L320" s="19">
        <f t="shared" si="16"/>
        <v>4453.57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1657.5</v>
      </c>
      <c r="G328" s="42">
        <f t="shared" si="17"/>
        <v>361.49</v>
      </c>
      <c r="H328" s="42">
        <f t="shared" si="17"/>
        <v>1534.58</v>
      </c>
      <c r="I328" s="42">
        <f t="shared" si="17"/>
        <v>304.14999999999998</v>
      </c>
      <c r="J328" s="42">
        <f t="shared" si="17"/>
        <v>4131.26</v>
      </c>
      <c r="K328" s="42">
        <f t="shared" si="17"/>
        <v>900</v>
      </c>
      <c r="L328" s="41">
        <f t="shared" si="17"/>
        <v>8888.98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34330.39</v>
      </c>
      <c r="G338" s="41">
        <f t="shared" si="20"/>
        <v>13002.34</v>
      </c>
      <c r="H338" s="41">
        <f t="shared" si="20"/>
        <v>2293.3000000000002</v>
      </c>
      <c r="I338" s="41">
        <f t="shared" si="20"/>
        <v>503.16999999999996</v>
      </c>
      <c r="J338" s="41">
        <f t="shared" si="20"/>
        <v>4131.26</v>
      </c>
      <c r="K338" s="41">
        <f t="shared" si="20"/>
        <v>6566.21</v>
      </c>
      <c r="L338" s="41">
        <f t="shared" si="20"/>
        <v>60826.67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34330.39</v>
      </c>
      <c r="G352" s="41">
        <f>G338</f>
        <v>13002.34</v>
      </c>
      <c r="H352" s="41">
        <f>H338</f>
        <v>2293.3000000000002</v>
      </c>
      <c r="I352" s="41">
        <f>I338</f>
        <v>503.16999999999996</v>
      </c>
      <c r="J352" s="41">
        <f>J338</f>
        <v>4131.26</v>
      </c>
      <c r="K352" s="47">
        <f>K338+K351</f>
        <v>6566.21</v>
      </c>
      <c r="L352" s="41">
        <f>L338+L351</f>
        <v>60826.67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169.75+36702.3</f>
        <v>36872.050000000003</v>
      </c>
      <c r="I358" s="18">
        <v>789.92</v>
      </c>
      <c r="J358" s="18"/>
      <c r="K358" s="18"/>
      <c r="L358" s="13">
        <f>SUM(F358:K358)</f>
        <v>37661.97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72.75+15652.51</f>
        <v>15725.26</v>
      </c>
      <c r="I360" s="18">
        <v>338.55</v>
      </c>
      <c r="J360" s="18"/>
      <c r="K360" s="18"/>
      <c r="L360" s="19">
        <f>SUM(F360:K360)</f>
        <v>16063.81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52597.310000000005</v>
      </c>
      <c r="I362" s="47">
        <f t="shared" si="22"/>
        <v>1128.47</v>
      </c>
      <c r="J362" s="47">
        <f t="shared" si="22"/>
        <v>0</v>
      </c>
      <c r="K362" s="47">
        <f t="shared" si="22"/>
        <v>0</v>
      </c>
      <c r="L362" s="47">
        <f t="shared" si="22"/>
        <v>53725.78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789.92</v>
      </c>
      <c r="G368" s="63"/>
      <c r="H368" s="63">
        <v>338.55</v>
      </c>
      <c r="I368" s="56">
        <f>SUM(F368:H368)</f>
        <v>1128.47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789.92</v>
      </c>
      <c r="G369" s="47">
        <f>SUM(G367:G368)</f>
        <v>0</v>
      </c>
      <c r="H369" s="47">
        <f>SUM(H367:H368)</f>
        <v>338.55</v>
      </c>
      <c r="I369" s="47">
        <f>SUM(I367:I368)</f>
        <v>1128.47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 t="s">
        <v>287</v>
      </c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20000</v>
      </c>
      <c r="H390" s="18">
        <v>3.57</v>
      </c>
      <c r="I390" s="18"/>
      <c r="J390" s="24" t="s">
        <v>289</v>
      </c>
      <c r="K390" s="24" t="s">
        <v>289</v>
      </c>
      <c r="L390" s="56">
        <f t="shared" si="25"/>
        <v>20003.57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0</v>
      </c>
      <c r="H392" s="18">
        <f>57.75-3.57-12.52-7.77-7.46</f>
        <v>26.43</v>
      </c>
      <c r="I392" s="18"/>
      <c r="J392" s="24" t="s">
        <v>289</v>
      </c>
      <c r="K392" s="24" t="s">
        <v>289</v>
      </c>
      <c r="L392" s="56">
        <f t="shared" si="25"/>
        <v>26.43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20000</v>
      </c>
      <c r="H393" s="139">
        <f>SUM(H387:H392)</f>
        <v>30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20030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20000</v>
      </c>
      <c r="H396" s="18">
        <f>12.52+7.46</f>
        <v>19.98</v>
      </c>
      <c r="I396" s="18"/>
      <c r="J396" s="24" t="s">
        <v>289</v>
      </c>
      <c r="K396" s="24" t="s">
        <v>289</v>
      </c>
      <c r="L396" s="56">
        <f t="shared" si="26"/>
        <v>20019.98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7.77</v>
      </c>
      <c r="I398" s="18"/>
      <c r="J398" s="24" t="s">
        <v>289</v>
      </c>
      <c r="K398" s="24" t="s">
        <v>289</v>
      </c>
      <c r="L398" s="56">
        <f t="shared" si="26"/>
        <v>7.77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27.75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20027.75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40000</v>
      </c>
      <c r="H408" s="47">
        <f>H393+H401+H407</f>
        <v>57.75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40057.75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578652.94999999995</v>
      </c>
      <c r="H439" s="18"/>
      <c r="I439" s="56">
        <f t="shared" ref="I439:I445" si="33">SUM(F439:H439)</f>
        <v>578652.94999999995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578652.94999999995</v>
      </c>
      <c r="H446" s="13">
        <f>SUM(H439:H445)</f>
        <v>0</v>
      </c>
      <c r="I446" s="13">
        <f>SUM(I439:I445)</f>
        <v>578652.94999999995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578652.94999999995</v>
      </c>
      <c r="H459" s="18"/>
      <c r="I459" s="56">
        <f t="shared" si="34"/>
        <v>578652.94999999995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578652.94999999995</v>
      </c>
      <c r="H460" s="83">
        <f>SUM(H454:H459)</f>
        <v>0</v>
      </c>
      <c r="I460" s="83">
        <f>SUM(I454:I459)</f>
        <v>578652.94999999995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578652.94999999995</v>
      </c>
      <c r="H461" s="42">
        <f>H452+H460</f>
        <v>0</v>
      </c>
      <c r="I461" s="42">
        <f>I452+I460</f>
        <v>578652.94999999995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257461.71</v>
      </c>
      <c r="G465" s="18">
        <v>13680.59</v>
      </c>
      <c r="H465" s="18">
        <v>0</v>
      </c>
      <c r="I465" s="18"/>
      <c r="J465" s="18">
        <v>538598.19999999995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2763068.08+4424.81</f>
        <v>2767492.89</v>
      </c>
      <c r="G468" s="18">
        <f>44354.81+8000</f>
        <v>52354.81</v>
      </c>
      <c r="H468" s="18">
        <f>60426.67+400</f>
        <v>60826.67</v>
      </c>
      <c r="I468" s="18"/>
      <c r="J468" s="18">
        <v>40057.75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2767492.89</v>
      </c>
      <c r="G470" s="53">
        <f>SUM(G468:G469)</f>
        <v>52354.81</v>
      </c>
      <c r="H470" s="53">
        <f>SUM(H468:H469)</f>
        <v>60826.67</v>
      </c>
      <c r="I470" s="53">
        <f>SUM(I468:I469)</f>
        <v>0</v>
      </c>
      <c r="J470" s="53">
        <f>SUM(J468:J469)</f>
        <v>40057.75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2731312.67</v>
      </c>
      <c r="G472" s="18">
        <v>53725.78</v>
      </c>
      <c r="H472" s="18">
        <v>60826.67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f>259.5-0.18</f>
        <v>259.32</v>
      </c>
      <c r="H473" s="18">
        <v>0</v>
      </c>
      <c r="I473" s="18"/>
      <c r="J473" s="18">
        <v>3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2731312.67</v>
      </c>
      <c r="G474" s="53">
        <f>SUM(G472:G473)</f>
        <v>53985.1</v>
      </c>
      <c r="H474" s="53">
        <f>SUM(H472:H473)</f>
        <v>60826.67</v>
      </c>
      <c r="I474" s="53">
        <f>SUM(I472:I473)</f>
        <v>0</v>
      </c>
      <c r="J474" s="53">
        <f>SUM(J472:J473)</f>
        <v>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293641.93000000017</v>
      </c>
      <c r="G476" s="53">
        <f>(G465+G470)- G474</f>
        <v>12050.299999999996</v>
      </c>
      <c r="H476" s="53">
        <f>(H465+H470)- H474</f>
        <v>0</v>
      </c>
      <c r="I476" s="53">
        <f>(I465+I470)- I474</f>
        <v>0</v>
      </c>
      <c r="J476" s="53">
        <f>(J465+J470)- J474</f>
        <v>578652.94999999995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287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3010000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195000</v>
      </c>
      <c r="G495" s="18"/>
      <c r="H495" s="18"/>
      <c r="I495" s="18"/>
      <c r="J495" s="18"/>
      <c r="K495" s="53">
        <f>SUM(F495:J495)</f>
        <v>195000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195000</v>
      </c>
      <c r="G497" s="18"/>
      <c r="H497" s="18"/>
      <c r="I497" s="18"/>
      <c r="J497" s="18"/>
      <c r="K497" s="53">
        <f t="shared" si="35"/>
        <v>195000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70072.789999999994</v>
      </c>
      <c r="G521" s="18">
        <v>23103.57</v>
      </c>
      <c r="H521" s="18"/>
      <c r="I521" s="18">
        <v>135.29</v>
      </c>
      <c r="J521" s="18"/>
      <c r="K521" s="18"/>
      <c r="L521" s="88">
        <f>SUM(F521:K521)</f>
        <v>93311.64999999998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22140.799999999999</v>
      </c>
      <c r="G523" s="18">
        <v>8875.65</v>
      </c>
      <c r="H523" s="18"/>
      <c r="I523" s="18">
        <v>1584.45</v>
      </c>
      <c r="J523" s="18">
        <v>3095</v>
      </c>
      <c r="K523" s="18"/>
      <c r="L523" s="88">
        <f>SUM(F523:K523)</f>
        <v>35695.899999999994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92213.59</v>
      </c>
      <c r="G524" s="108">
        <f t="shared" ref="G524:L524" si="36">SUM(G521:G523)</f>
        <v>31979.22</v>
      </c>
      <c r="H524" s="108">
        <f t="shared" si="36"/>
        <v>0</v>
      </c>
      <c r="I524" s="108">
        <f t="shared" si="36"/>
        <v>1719.74</v>
      </c>
      <c r="J524" s="108">
        <f t="shared" si="36"/>
        <v>3095</v>
      </c>
      <c r="K524" s="108">
        <f t="shared" si="36"/>
        <v>0</v>
      </c>
      <c r="L524" s="89">
        <f t="shared" si="36"/>
        <v>129007.54999999997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16176.42</v>
      </c>
      <c r="G526" s="18">
        <v>1251.55</v>
      </c>
      <c r="H526" s="18">
        <f>12696.34+28006.21-2800.62</f>
        <v>37901.93</v>
      </c>
      <c r="I526" s="18">
        <v>955.82</v>
      </c>
      <c r="J526" s="18">
        <v>379.44</v>
      </c>
      <c r="K526" s="18"/>
      <c r="L526" s="88">
        <f>SUM(F526:K526)</f>
        <v>56665.16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f>28006.21*0.1</f>
        <v>2800.6210000000001</v>
      </c>
      <c r="I528" s="18"/>
      <c r="J528" s="18"/>
      <c r="K528" s="18"/>
      <c r="L528" s="88">
        <f>SUM(F528:K528)</f>
        <v>2800.6210000000001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16176.42</v>
      </c>
      <c r="G529" s="89">
        <f t="shared" ref="G529:L529" si="37">SUM(G526:G528)</f>
        <v>1251.55</v>
      </c>
      <c r="H529" s="89">
        <f t="shared" si="37"/>
        <v>40702.550999999999</v>
      </c>
      <c r="I529" s="89">
        <f t="shared" si="37"/>
        <v>955.82</v>
      </c>
      <c r="J529" s="89">
        <f t="shared" si="37"/>
        <v>379.44</v>
      </c>
      <c r="K529" s="89">
        <f t="shared" si="37"/>
        <v>0</v>
      </c>
      <c r="L529" s="89">
        <f t="shared" si="37"/>
        <v>59465.781000000003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f>39541.46*0.7</f>
        <v>27679.021999999997</v>
      </c>
      <c r="I531" s="18"/>
      <c r="J531" s="18"/>
      <c r="K531" s="18"/>
      <c r="L531" s="88">
        <f>SUM(F531:K531)</f>
        <v>27679.021999999997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f>39541.46*0.3</f>
        <v>11862.438</v>
      </c>
      <c r="I533" s="18"/>
      <c r="J533" s="18"/>
      <c r="K533" s="18"/>
      <c r="L533" s="88">
        <f>SUM(F533:K533)</f>
        <v>11862.438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39541.46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39541.46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108390.01</v>
      </c>
      <c r="G545" s="89">
        <f t="shared" ref="G545:L545" si="41">G524+G529+G534+G539+G544</f>
        <v>33230.770000000004</v>
      </c>
      <c r="H545" s="89">
        <f t="shared" si="41"/>
        <v>80244.010999999999</v>
      </c>
      <c r="I545" s="89">
        <f t="shared" si="41"/>
        <v>2675.56</v>
      </c>
      <c r="J545" s="89">
        <f t="shared" si="41"/>
        <v>3474.44</v>
      </c>
      <c r="K545" s="89">
        <f t="shared" si="41"/>
        <v>0</v>
      </c>
      <c r="L545" s="89">
        <f t="shared" si="41"/>
        <v>228014.79099999997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93311.64999999998</v>
      </c>
      <c r="G549" s="87">
        <f>L526</f>
        <v>56665.16</v>
      </c>
      <c r="H549" s="87">
        <f>L531</f>
        <v>27679.021999999997</v>
      </c>
      <c r="I549" s="87">
        <f>L536</f>
        <v>0</v>
      </c>
      <c r="J549" s="87">
        <f>L541</f>
        <v>0</v>
      </c>
      <c r="K549" s="87">
        <f>SUM(F549:J549)</f>
        <v>177655.83199999999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35695.899999999994</v>
      </c>
      <c r="G551" s="87">
        <f>L528</f>
        <v>2800.6210000000001</v>
      </c>
      <c r="H551" s="87">
        <f>L533</f>
        <v>11862.438</v>
      </c>
      <c r="I551" s="87">
        <f>L538</f>
        <v>0</v>
      </c>
      <c r="J551" s="87">
        <f>L543</f>
        <v>0</v>
      </c>
      <c r="K551" s="87">
        <f>SUM(F551:J551)</f>
        <v>50358.958999999995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129007.54999999997</v>
      </c>
      <c r="G552" s="89">
        <f t="shared" si="42"/>
        <v>59465.781000000003</v>
      </c>
      <c r="H552" s="89">
        <f t="shared" si="42"/>
        <v>39541.46</v>
      </c>
      <c r="I552" s="89">
        <f t="shared" si="42"/>
        <v>0</v>
      </c>
      <c r="J552" s="89">
        <f t="shared" si="42"/>
        <v>0</v>
      </c>
      <c r="K552" s="89">
        <f t="shared" si="42"/>
        <v>228014.791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54642.2</v>
      </c>
      <c r="I591" s="18"/>
      <c r="J591" s="18">
        <v>19201.45</v>
      </c>
      <c r="K591" s="104">
        <f t="shared" ref="K591:K597" si="48">SUM(H591:J591)</f>
        <v>73843.649999999994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17</v>
      </c>
      <c r="I594" s="18"/>
      <c r="J594" s="18">
        <v>19724.669999999998</v>
      </c>
      <c r="K594" s="104">
        <f t="shared" si="48"/>
        <v>19741.669999999998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2495.9</v>
      </c>
      <c r="I595" s="18"/>
      <c r="J595" s="18">
        <v>3883.15</v>
      </c>
      <c r="K595" s="104">
        <f t="shared" si="48"/>
        <v>6379.05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57155.1</v>
      </c>
      <c r="I598" s="108">
        <f>SUM(I591:I597)</f>
        <v>0</v>
      </c>
      <c r="J598" s="108">
        <f>SUM(J591:J597)</f>
        <v>42809.27</v>
      </c>
      <c r="K598" s="108">
        <f>SUM(K591:K597)</f>
        <v>99964.37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24865.8</v>
      </c>
      <c r="I604" s="18"/>
      <c r="J604" s="18">
        <v>35043.980000000003</v>
      </c>
      <c r="K604" s="104">
        <f>SUM(H604:J604)</f>
        <v>59909.78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24865.8</v>
      </c>
      <c r="I605" s="108">
        <f>SUM(I602:I604)</f>
        <v>0</v>
      </c>
      <c r="J605" s="108">
        <f>SUM(J602:J604)</f>
        <v>35043.980000000003</v>
      </c>
      <c r="K605" s="108">
        <f>SUM(K602:K604)</f>
        <v>59909.78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320229.18</v>
      </c>
      <c r="H617" s="109">
        <f>SUM(F52)</f>
        <v>320229.18000000034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13898.59</v>
      </c>
      <c r="H618" s="109">
        <f>SUM(G52)</f>
        <v>13898.59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21468.83</v>
      </c>
      <c r="H619" s="109">
        <f>SUM(H52)</f>
        <v>21468.829999999998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578652.94999999995</v>
      </c>
      <c r="H621" s="109">
        <f>SUM(J52)</f>
        <v>578652.94999999995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293641.93000000034</v>
      </c>
      <c r="H622" s="109">
        <f>F476</f>
        <v>293641.93000000017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12050.300000000001</v>
      </c>
      <c r="H623" s="109">
        <f>G476</f>
        <v>12050.299999999996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578652.94999999995</v>
      </c>
      <c r="H626" s="109">
        <f>J476</f>
        <v>578652.94999999995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2767492.8899999997</v>
      </c>
      <c r="H627" s="104">
        <f>SUM(F468)</f>
        <v>2767492.89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52354.81</v>
      </c>
      <c r="H628" s="104">
        <f>SUM(G468)</f>
        <v>52354.81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60826.67</v>
      </c>
      <c r="H629" s="104">
        <f>SUM(H468)</f>
        <v>60826.67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40057.75</v>
      </c>
      <c r="H631" s="104">
        <f>SUM(J468)</f>
        <v>40057.75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2731312.6700000004</v>
      </c>
      <c r="H632" s="104">
        <f>SUM(F472)</f>
        <v>2731312.67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60826.67</v>
      </c>
      <c r="H633" s="104">
        <f>SUM(H472)</f>
        <v>60826.67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1128.47</v>
      </c>
      <c r="H634" s="104">
        <f>I369</f>
        <v>1128.47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53725.78</v>
      </c>
      <c r="H635" s="104">
        <f>SUM(G472)</f>
        <v>53725.78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40057.75</v>
      </c>
      <c r="H637" s="164">
        <f>SUM(J468)</f>
        <v>40057.75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578652.94999999995</v>
      </c>
      <c r="H640" s="104">
        <f>SUM(G461)</f>
        <v>578652.94999999995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578652.94999999995</v>
      </c>
      <c r="H642" s="104">
        <f>SUM(I461)</f>
        <v>578652.94999999995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57.75</v>
      </c>
      <c r="H644" s="104">
        <f>H408</f>
        <v>57.75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40000</v>
      </c>
      <c r="H645" s="104">
        <f>G408</f>
        <v>40000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40057.75</v>
      </c>
      <c r="H646" s="104">
        <f>L408</f>
        <v>40057.75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99964.37</v>
      </c>
      <c r="H647" s="104">
        <f>L208+L226+L244</f>
        <v>99964.37000000001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59909.78</v>
      </c>
      <c r="H648" s="104">
        <f>(J257+J338)-(J255+J336)</f>
        <v>59909.780000000006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57155.100000000006</v>
      </c>
      <c r="H649" s="104">
        <f>H598</f>
        <v>57155.1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42809.270000000004</v>
      </c>
      <c r="H651" s="104">
        <f>J598</f>
        <v>42809.27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8000</v>
      </c>
      <c r="H652" s="104">
        <f>K263+K345</f>
        <v>8000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40000</v>
      </c>
      <c r="H655" s="104">
        <f>K266+K347</f>
        <v>40000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1526996.8000000003</v>
      </c>
      <c r="G660" s="19">
        <f>(L229+L309+L359)</f>
        <v>0</v>
      </c>
      <c r="H660" s="19">
        <f>(L247+L328+L360)</f>
        <v>1070749.57</v>
      </c>
      <c r="I660" s="19">
        <f>SUM(F660:H660)</f>
        <v>2597746.37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10921.903863445072</v>
      </c>
      <c r="G661" s="19">
        <f>(L359/IF(SUM(L358:L360)=0,1,SUM(L358:L360))*(SUM(G97:G110)))</f>
        <v>0</v>
      </c>
      <c r="H661" s="19">
        <f>(L360/IF(SUM(L358:L360)=0,1,SUM(L358:L360))*(SUM(G97:G110)))</f>
        <v>4658.4761365549275</v>
      </c>
      <c r="I661" s="19">
        <f>SUM(F661:H661)</f>
        <v>15580.38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57155.100000000006</v>
      </c>
      <c r="G662" s="19">
        <f>(L226+L306)-(J226+J306)</f>
        <v>0</v>
      </c>
      <c r="H662" s="19">
        <f>(L244+L325)-(J244+J325)</f>
        <v>42809.270000000004</v>
      </c>
      <c r="I662" s="19">
        <f>SUM(F662:H662)</f>
        <v>99964.37000000001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24865.8</v>
      </c>
      <c r="G663" s="199">
        <f>SUM(G575:G587)+SUM(I602:I604)+L612</f>
        <v>0</v>
      </c>
      <c r="H663" s="199">
        <f>SUM(H575:H587)+SUM(J602:J604)+L613</f>
        <v>35043.980000000003</v>
      </c>
      <c r="I663" s="19">
        <f>SUM(F663:H663)</f>
        <v>59909.78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1434053.9961365552</v>
      </c>
      <c r="G664" s="19">
        <f>G660-SUM(G661:G663)</f>
        <v>0</v>
      </c>
      <c r="H664" s="19">
        <f>H660-SUM(H661:H663)</f>
        <v>988237.8438634451</v>
      </c>
      <c r="I664" s="19">
        <f>I660-SUM(I661:I663)</f>
        <v>2422291.84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0.76+6.64+48.26</f>
        <v>55.66</v>
      </c>
      <c r="G665" s="248"/>
      <c r="H665" s="248">
        <v>46.61</v>
      </c>
      <c r="I665" s="19">
        <f>SUM(F665:H665)</f>
        <v>102.27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25764.53</v>
      </c>
      <c r="G667" s="19" t="e">
        <f>ROUND(G664/G665,2)</f>
        <v>#DIV/0!</v>
      </c>
      <c r="H667" s="19">
        <f>ROUND(H664/H665,2)</f>
        <v>21202.27</v>
      </c>
      <c r="I667" s="19">
        <f>ROUND(I664/I665,2)</f>
        <v>23685.26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25764.53</v>
      </c>
      <c r="G672" s="19" t="e">
        <f>ROUND((G664+G669)/(G665+G670),2)</f>
        <v>#DIV/0!</v>
      </c>
      <c r="H672" s="19">
        <f>ROUND((H664+H669)/(H665+H670),2)</f>
        <v>21202.27</v>
      </c>
      <c r="I672" s="19">
        <f>ROUND((I664+I669)/(I665+I670),2)</f>
        <v>23685.26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" right="0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PITSBURG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784467.6</v>
      </c>
      <c r="C9" s="229">
        <f>'DOE25'!G197+'DOE25'!G215+'DOE25'!G233+'DOE25'!G276+'DOE25'!G295+'DOE25'!G314</f>
        <v>419161.86</v>
      </c>
    </row>
    <row r="10" spans="1:3" x14ac:dyDescent="0.2">
      <c r="A10" t="s">
        <v>779</v>
      </c>
      <c r="B10" s="240">
        <f>711177.91+34845.61</f>
        <v>746023.52</v>
      </c>
      <c r="C10" s="240">
        <f>419161.86-3056.3</f>
        <v>416105.56</v>
      </c>
    </row>
    <row r="11" spans="1:3" x14ac:dyDescent="0.2">
      <c r="A11" t="s">
        <v>780</v>
      </c>
      <c r="B11" s="240">
        <f>26224.08+12220</f>
        <v>38444.080000000002</v>
      </c>
      <c r="C11" s="240">
        <v>3056.3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784467.6</v>
      </c>
      <c r="C13" s="231">
        <f>SUM(C10:C12)</f>
        <v>419161.86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100884.62</v>
      </c>
      <c r="C18" s="229">
        <f>'DOE25'!G198+'DOE25'!G216+'DOE25'!G234+'DOE25'!G277+'DOE25'!G296+'DOE25'!G315</f>
        <v>36139.129999999997</v>
      </c>
    </row>
    <row r="19" spans="1:3" x14ac:dyDescent="0.2">
      <c r="A19" t="s">
        <v>779</v>
      </c>
      <c r="B19" s="240">
        <f>47988+8671.03</f>
        <v>56659.03</v>
      </c>
      <c r="C19" s="240">
        <f>36139.13-3515.93</f>
        <v>32623.199999999997</v>
      </c>
    </row>
    <row r="20" spans="1:3" x14ac:dyDescent="0.2">
      <c r="A20" t="s">
        <v>780</v>
      </c>
      <c r="B20" s="240">
        <f>41624.02+2187.5+414.07</f>
        <v>44225.59</v>
      </c>
      <c r="C20" s="240">
        <v>3515.93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100884.62</v>
      </c>
      <c r="C22" s="231">
        <f>SUM(C19:C21)</f>
        <v>36139.129999999997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17447</v>
      </c>
      <c r="C36" s="235">
        <f>'DOE25'!G200+'DOE25'!G218+'DOE25'!G236+'DOE25'!G279+'DOE25'!G298+'DOE25'!G317</f>
        <v>2621.2600000000002</v>
      </c>
    </row>
    <row r="37" spans="1:3" x14ac:dyDescent="0.2">
      <c r="A37" t="s">
        <v>779</v>
      </c>
      <c r="B37" s="240">
        <v>5349</v>
      </c>
      <c r="C37" s="240">
        <f>2621.26-961.79</f>
        <v>1659.4700000000003</v>
      </c>
    </row>
    <row r="38" spans="1:3" x14ac:dyDescent="0.2">
      <c r="A38" t="s">
        <v>780</v>
      </c>
      <c r="B38" s="240">
        <v>12098</v>
      </c>
      <c r="C38" s="240">
        <v>961.79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17447</v>
      </c>
      <c r="C40" s="231">
        <f>SUM(C37:C39)</f>
        <v>2621.2600000000002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G29" sqref="G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PITSBURG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1405789.1500000004</v>
      </c>
      <c r="D5" s="20">
        <f>SUM('DOE25'!L197:L200)+SUM('DOE25'!L215:L218)+SUM('DOE25'!L233:L236)-F5-G5</f>
        <v>1394212.0800000003</v>
      </c>
      <c r="E5" s="243"/>
      <c r="F5" s="255">
        <f>SUM('DOE25'!J197:J200)+SUM('DOE25'!J215:J218)+SUM('DOE25'!J233:J236)</f>
        <v>4962.7599999999993</v>
      </c>
      <c r="G5" s="53">
        <f>SUM('DOE25'!K197:K200)+SUM('DOE25'!K215:K218)+SUM('DOE25'!K233:K236)</f>
        <v>6614.31</v>
      </c>
      <c r="H5" s="259"/>
    </row>
    <row r="6" spans="1:9" x14ac:dyDescent="0.2">
      <c r="A6" s="32">
        <v>2100</v>
      </c>
      <c r="B6" t="s">
        <v>801</v>
      </c>
      <c r="C6" s="245">
        <f t="shared" si="0"/>
        <v>203189.88</v>
      </c>
      <c r="D6" s="20">
        <f>'DOE25'!L202+'DOE25'!L220+'DOE25'!L238-F6-G6</f>
        <v>173800.44</v>
      </c>
      <c r="E6" s="243"/>
      <c r="F6" s="255">
        <f>'DOE25'!J202+'DOE25'!J220+'DOE25'!J238</f>
        <v>28441.440000000002</v>
      </c>
      <c r="G6" s="53">
        <f>'DOE25'!K202+'DOE25'!K220+'DOE25'!K238</f>
        <v>948</v>
      </c>
      <c r="H6" s="259"/>
    </row>
    <row r="7" spans="1:9" x14ac:dyDescent="0.2">
      <c r="A7" s="32">
        <v>2200</v>
      </c>
      <c r="B7" t="s">
        <v>834</v>
      </c>
      <c r="C7" s="245">
        <f t="shared" si="0"/>
        <v>85498.28</v>
      </c>
      <c r="D7" s="20">
        <f>'DOE25'!L203+'DOE25'!L221+'DOE25'!L239-F7-G7</f>
        <v>80580.429999999993</v>
      </c>
      <c r="E7" s="243"/>
      <c r="F7" s="255">
        <f>'DOE25'!J203+'DOE25'!J221+'DOE25'!J239</f>
        <v>0</v>
      </c>
      <c r="G7" s="53">
        <f>'DOE25'!K203+'DOE25'!K221+'DOE25'!K239</f>
        <v>4917.8500000000004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124304.05999999998</v>
      </c>
      <c r="D8" s="243"/>
      <c r="E8" s="20">
        <f>'DOE25'!L204+'DOE25'!L222+'DOE25'!L240-F8-G8-D9-D11</f>
        <v>121265.15999999999</v>
      </c>
      <c r="F8" s="255">
        <f>'DOE25'!J204+'DOE25'!J222+'DOE25'!J240</f>
        <v>0</v>
      </c>
      <c r="G8" s="53">
        <f>'DOE25'!K204+'DOE25'!K222+'DOE25'!K240</f>
        <v>3038.8999999999996</v>
      </c>
      <c r="H8" s="259"/>
    </row>
    <row r="9" spans="1:9" x14ac:dyDescent="0.2">
      <c r="A9" s="32">
        <v>2310</v>
      </c>
      <c r="B9" t="s">
        <v>818</v>
      </c>
      <c r="C9" s="245">
        <f t="shared" si="0"/>
        <v>23234.66</v>
      </c>
      <c r="D9" s="244">
        <v>23234.66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7200</v>
      </c>
      <c r="D10" s="243"/>
      <c r="E10" s="244">
        <v>7200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70705.52</v>
      </c>
      <c r="D11" s="244">
        <v>70705.52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156913.41000000003</v>
      </c>
      <c r="D12" s="20">
        <f>'DOE25'!L205+'DOE25'!L223+'DOE25'!L241-F12-G12</f>
        <v>156414.67000000004</v>
      </c>
      <c r="E12" s="243"/>
      <c r="F12" s="255">
        <f>'DOE25'!J205+'DOE25'!J223+'DOE25'!J241</f>
        <v>219.99</v>
      </c>
      <c r="G12" s="53">
        <f>'DOE25'!K205+'DOE25'!K223+'DOE25'!K241</f>
        <v>278.75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309310.58999999997</v>
      </c>
      <c r="D14" s="20">
        <f>'DOE25'!L207+'DOE25'!L225+'DOE25'!L243-F14-G14</f>
        <v>286386.75999999995</v>
      </c>
      <c r="E14" s="243"/>
      <c r="F14" s="255">
        <f>'DOE25'!J207+'DOE25'!J225+'DOE25'!J243</f>
        <v>22154.329999999998</v>
      </c>
      <c r="G14" s="53">
        <f>'DOE25'!K207+'DOE25'!K225+'DOE25'!K243</f>
        <v>769.5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99964.37000000001</v>
      </c>
      <c r="D15" s="20">
        <f>'DOE25'!L208+'DOE25'!L226+'DOE25'!L244-F15-G15</f>
        <v>99233.07</v>
      </c>
      <c r="E15" s="243"/>
      <c r="F15" s="255">
        <f>'DOE25'!J208+'DOE25'!J226+'DOE25'!J244</f>
        <v>0</v>
      </c>
      <c r="G15" s="53">
        <f>'DOE25'!K208+'DOE25'!K226+'DOE25'!K244</f>
        <v>731.30000000000007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4284</v>
      </c>
      <c r="D16" s="243"/>
      <c r="E16" s="20">
        <f>'DOE25'!L209+'DOE25'!L227+'DOE25'!L245-F16-G16</f>
        <v>4284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200118.75</v>
      </c>
      <c r="D25" s="243"/>
      <c r="E25" s="243"/>
      <c r="F25" s="258"/>
      <c r="G25" s="256"/>
      <c r="H25" s="257">
        <f>'DOE25'!L260+'DOE25'!L261+'DOE25'!L341+'DOE25'!L342</f>
        <v>200118.75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53725.78</v>
      </c>
      <c r="D29" s="20">
        <f>'DOE25'!L358+'DOE25'!L359+'DOE25'!L360-'DOE25'!I367-F29-G29</f>
        <v>53725.78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60826.67</v>
      </c>
      <c r="D31" s="20">
        <f>'DOE25'!L290+'DOE25'!L309+'DOE25'!L328+'DOE25'!L333+'DOE25'!L334+'DOE25'!L335-F31-G31</f>
        <v>50129.2</v>
      </c>
      <c r="E31" s="243"/>
      <c r="F31" s="255">
        <f>'DOE25'!J290+'DOE25'!J309+'DOE25'!J328+'DOE25'!J333+'DOE25'!J334+'DOE25'!J335</f>
        <v>4131.26</v>
      </c>
      <c r="G31" s="53">
        <f>'DOE25'!K290+'DOE25'!K309+'DOE25'!K328+'DOE25'!K333+'DOE25'!K334+'DOE25'!K335</f>
        <v>6566.21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2388422.61</v>
      </c>
      <c r="E33" s="246">
        <f>SUM(E5:E31)</f>
        <v>132749.15999999997</v>
      </c>
      <c r="F33" s="246">
        <f>SUM(F5:F31)</f>
        <v>59909.780000000006</v>
      </c>
      <c r="G33" s="246">
        <f>SUM(G5:G31)</f>
        <v>23864.819999999996</v>
      </c>
      <c r="H33" s="246">
        <f>SUM(H5:H31)</f>
        <v>200118.75</v>
      </c>
    </row>
    <row r="35" spans="2:8" ht="12" thickBot="1" x14ac:dyDescent="0.25">
      <c r="B35" s="253" t="s">
        <v>847</v>
      </c>
      <c r="D35" s="254">
        <f>E33</f>
        <v>132749.15999999997</v>
      </c>
      <c r="E35" s="249"/>
    </row>
    <row r="36" spans="2:8" ht="12" thickTop="1" x14ac:dyDescent="0.2">
      <c r="B36" t="s">
        <v>815</v>
      </c>
      <c r="D36" s="20">
        <f>D33</f>
        <v>2388422.61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PITSBURG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275575.71999999997</v>
      </c>
      <c r="D8" s="95">
        <f>'DOE25'!G9</f>
        <v>11556.53</v>
      </c>
      <c r="E8" s="95">
        <f>'DOE25'!H9</f>
        <v>0</v>
      </c>
      <c r="F8" s="95">
        <f>'DOE25'!I9</f>
        <v>0</v>
      </c>
      <c r="G8" s="95">
        <f>'DOE25'!J9</f>
        <v>578652.94999999995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19468.650000000001</v>
      </c>
      <c r="D11" s="95">
        <f>'DOE25'!G12</f>
        <v>0</v>
      </c>
      <c r="E11" s="95">
        <f>'DOE25'!H12</f>
        <v>1000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25184.81</v>
      </c>
      <c r="D12" s="95">
        <f>'DOE25'!G13</f>
        <v>1258.1099999999999</v>
      </c>
      <c r="E12" s="95">
        <f>'DOE25'!H13</f>
        <v>20468.830000000002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96.3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987.65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320229.18</v>
      </c>
      <c r="D18" s="41">
        <f>SUM(D8:D17)</f>
        <v>13898.59</v>
      </c>
      <c r="E18" s="41">
        <f>SUM(E8:E17)</f>
        <v>21468.83</v>
      </c>
      <c r="F18" s="41">
        <f>SUM(F8:F17)</f>
        <v>0</v>
      </c>
      <c r="G18" s="41">
        <f>SUM(G8:G17)</f>
        <v>578652.94999999995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20468.829999999998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8249.5499999999993</v>
      </c>
      <c r="D23" s="95">
        <f>'DOE25'!G24</f>
        <v>1848.29</v>
      </c>
      <c r="E23" s="95">
        <f>'DOE25'!H24</f>
        <v>503.17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4224.82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9688.07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4424.8100000000004</v>
      </c>
      <c r="D29" s="95">
        <f>'DOE25'!G30</f>
        <v>0</v>
      </c>
      <c r="E29" s="95">
        <f>'DOE25'!H30</f>
        <v>496.83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26587.25</v>
      </c>
      <c r="D31" s="41">
        <f>SUM(D21:D30)</f>
        <v>1848.29</v>
      </c>
      <c r="E31" s="41">
        <f>SUM(E21:E30)</f>
        <v>21468.829999999998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987.65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11062.650000000001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 t="str">
        <f>'DOE25'!G48</f>
        <v xml:space="preserve"> </v>
      </c>
      <c r="E47" s="95">
        <f>'DOE25'!H48</f>
        <v>0</v>
      </c>
      <c r="F47" s="95">
        <f>'DOE25'!I48</f>
        <v>0</v>
      </c>
      <c r="G47" s="95">
        <f>'DOE25'!J48</f>
        <v>578652.94999999995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16968.759999999998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276673.17000000033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293641.93000000034</v>
      </c>
      <c r="D50" s="41">
        <f>SUM(D34:D49)</f>
        <v>12050.300000000001</v>
      </c>
      <c r="E50" s="41">
        <f>SUM(E34:E49)</f>
        <v>0</v>
      </c>
      <c r="F50" s="41">
        <f>SUM(F34:F49)</f>
        <v>0</v>
      </c>
      <c r="G50" s="41">
        <f>SUM(G34:G49)</f>
        <v>578652.94999999995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320229.18000000034</v>
      </c>
      <c r="D51" s="41">
        <f>D50+D31</f>
        <v>13898.59</v>
      </c>
      <c r="E51" s="41">
        <f>E50+E31</f>
        <v>21468.829999999998</v>
      </c>
      <c r="F51" s="41">
        <f>F50+F31</f>
        <v>0</v>
      </c>
      <c r="G51" s="41">
        <f>G50+G31</f>
        <v>578652.94999999995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1648770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313260.01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166.28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57.75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15580.38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95695.59</v>
      </c>
      <c r="D61" s="95">
        <f>SUM('DOE25'!G98:G110)</f>
        <v>0</v>
      </c>
      <c r="E61" s="95">
        <f>SUM('DOE25'!H98:H110)</f>
        <v>4634.43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409121.88</v>
      </c>
      <c r="D62" s="130">
        <f>SUM(D57:D61)</f>
        <v>15580.38</v>
      </c>
      <c r="E62" s="130">
        <f>SUM(E57:E61)</f>
        <v>4634.43</v>
      </c>
      <c r="F62" s="130">
        <f>SUM(F57:F61)</f>
        <v>0</v>
      </c>
      <c r="G62" s="130">
        <f>SUM(G57:G61)</f>
        <v>57.75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2057891.88</v>
      </c>
      <c r="D63" s="22">
        <f>D56+D62</f>
        <v>15580.38</v>
      </c>
      <c r="E63" s="22">
        <f>E56+E62</f>
        <v>4634.43</v>
      </c>
      <c r="F63" s="22">
        <f>F56+F62</f>
        <v>0</v>
      </c>
      <c r="G63" s="22">
        <f>G56+G62</f>
        <v>57.75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35370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595816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631186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77417.919999999998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719.43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77417.919999999998</v>
      </c>
      <c r="D78" s="130">
        <f>SUM(D72:D77)</f>
        <v>719.43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708603.92</v>
      </c>
      <c r="D81" s="130">
        <f>SUM(D79:D80)+D78+D70</f>
        <v>719.43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997.09</v>
      </c>
      <c r="D88" s="95">
        <f>SUM('DOE25'!G153:G161)</f>
        <v>28055</v>
      </c>
      <c r="E88" s="95">
        <f>SUM('DOE25'!H153:H161)</f>
        <v>56192.24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997.09</v>
      </c>
      <c r="D91" s="131">
        <f>SUM(D85:D90)</f>
        <v>28055</v>
      </c>
      <c r="E91" s="131">
        <f>SUM(E85:E90)</f>
        <v>56192.24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8000</v>
      </c>
      <c r="E96" s="95">
        <f>'DOE25'!H179</f>
        <v>0</v>
      </c>
      <c r="F96" s="95">
        <f>'DOE25'!I179</f>
        <v>0</v>
      </c>
      <c r="G96" s="95">
        <f>'DOE25'!J179</f>
        <v>40000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8000</v>
      </c>
      <c r="E103" s="86">
        <f>SUM(E93:E102)</f>
        <v>0</v>
      </c>
      <c r="F103" s="86">
        <f>SUM(F93:F102)</f>
        <v>0</v>
      </c>
      <c r="G103" s="86">
        <f>SUM(G93:G102)</f>
        <v>40000</v>
      </c>
    </row>
    <row r="104" spans="1:7" ht="12.75" thickTop="1" thickBot="1" x14ac:dyDescent="0.25">
      <c r="A104" s="33" t="s">
        <v>765</v>
      </c>
      <c r="C104" s="86">
        <f>C63+C81+C91+C103</f>
        <v>2767492.8899999997</v>
      </c>
      <c r="D104" s="86">
        <f>D63+D81+D91+D103</f>
        <v>52354.81</v>
      </c>
      <c r="E104" s="86">
        <f>E63+E81+E91+E103</f>
        <v>60826.67</v>
      </c>
      <c r="F104" s="86">
        <f>F63+F81+F91+F103</f>
        <v>0</v>
      </c>
      <c r="G104" s="86">
        <f>G63+G81+G103</f>
        <v>40057.75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1204257.4300000002</v>
      </c>
      <c r="D109" s="24" t="s">
        <v>289</v>
      </c>
      <c r="E109" s="95">
        <f>('DOE25'!L276)+('DOE25'!L295)+('DOE25'!L314)</f>
        <v>49948.17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142353.62999999998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59178.089999999989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1405789.1500000001</v>
      </c>
      <c r="D115" s="86">
        <f>SUM(D109:D114)</f>
        <v>0</v>
      </c>
      <c r="E115" s="86">
        <f>SUM(E109:E114)</f>
        <v>49948.17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203189.88</v>
      </c>
      <c r="D118" s="24" t="s">
        <v>289</v>
      </c>
      <c r="E118" s="95">
        <f>+('DOE25'!L281)+('DOE25'!L300)+('DOE25'!L319)</f>
        <v>4466.21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85498.28</v>
      </c>
      <c r="D119" s="24" t="s">
        <v>289</v>
      </c>
      <c r="E119" s="95">
        <f>+('DOE25'!L282)+('DOE25'!L301)+('DOE25'!L320)</f>
        <v>6212.29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218244.24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156913.41000000003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200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309310.58999999997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99964.37000000001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4284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53725.78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1077404.77</v>
      </c>
      <c r="D128" s="86">
        <f>SUM(D118:D127)</f>
        <v>53725.78</v>
      </c>
      <c r="E128" s="86">
        <f>SUM(E118:E127)</f>
        <v>10878.5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195000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5118.75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 t="str">
        <f>'DOE25'!K381</f>
        <v xml:space="preserve"> 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8000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20030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20027.75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-57.75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248118.75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2731312.67</v>
      </c>
      <c r="D145" s="86">
        <f>(D115+D128+D144)</f>
        <v>53725.78</v>
      </c>
      <c r="E145" s="86">
        <f>(E115+E128+E144)</f>
        <v>60826.67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July 1999</v>
      </c>
      <c r="C152" s="152" t="str">
        <f>'DOE25'!G491</f>
        <v xml:space="preserve"> 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August 2014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3010000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5.25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195000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195000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195000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PITSBURG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25765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21202</v>
      </c>
    </row>
    <row r="7" spans="1:4" x14ac:dyDescent="0.2">
      <c r="B7" t="s">
        <v>705</v>
      </c>
      <c r="C7" s="179">
        <f>IF('DOE25'!I665+'DOE25'!I670=0,0,ROUND('DOE25'!I672,0))</f>
        <v>23685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1254206</v>
      </c>
      <c r="D10" s="182">
        <f>ROUND((C10/$C$28)*100,1)</f>
        <v>48.5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142354</v>
      </c>
      <c r="D11" s="182">
        <f>ROUND((C11/$C$28)*100,1)</f>
        <v>5.5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59178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207656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91711</v>
      </c>
      <c r="D16" s="182">
        <f t="shared" si="0"/>
        <v>3.5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222528</v>
      </c>
      <c r="D17" s="182">
        <f t="shared" si="0"/>
        <v>8.6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156913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200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309311</v>
      </c>
      <c r="D20" s="182">
        <f t="shared" si="0"/>
        <v>12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99964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5119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38145.620000000003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2587285.62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2587285.62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195000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1648770</v>
      </c>
      <c r="D35" s="182">
        <f t="shared" ref="D35:D40" si="1">ROUND((C35/$C$41)*100,1)</f>
        <v>57.7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413814.05999999982</v>
      </c>
      <c r="D36" s="182">
        <f t="shared" si="1"/>
        <v>14.5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631186</v>
      </c>
      <c r="D37" s="182">
        <f t="shared" si="1"/>
        <v>22.1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78137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85244</v>
      </c>
      <c r="D39" s="182">
        <f t="shared" si="1"/>
        <v>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2857151.0599999996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PITSBURG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2015-09-08T13:16:11Z</cp:lastPrinted>
  <dcterms:created xsi:type="dcterms:W3CDTF">1997-12-04T19:04:30Z</dcterms:created>
  <dcterms:modified xsi:type="dcterms:W3CDTF">2015-11-30T13:50:49Z</dcterms:modified>
</cp:coreProperties>
</file>