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115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2" i="1" l="1"/>
  <c r="G472" i="1"/>
  <c r="F472" i="1"/>
  <c r="G468" i="1"/>
  <c r="F468" i="1"/>
  <c r="F240" i="1"/>
  <c r="F222" i="1"/>
  <c r="F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C21" i="10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L268" i="1"/>
  <c r="L269" i="1"/>
  <c r="C143" i="2" s="1"/>
  <c r="L349" i="1"/>
  <c r="L350" i="1"/>
  <c r="I665" i="1"/>
  <c r="I670" i="1"/>
  <c r="F662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C113" i="2"/>
  <c r="E113" i="2"/>
  <c r="E114" i="2"/>
  <c r="D115" i="2"/>
  <c r="F115" i="2"/>
  <c r="G115" i="2"/>
  <c r="C118" i="2"/>
  <c r="E120" i="2"/>
  <c r="C122" i="2"/>
  <c r="E122" i="2"/>
  <c r="E123" i="2"/>
  <c r="C124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F407" i="1"/>
  <c r="G407" i="1"/>
  <c r="H407" i="1"/>
  <c r="H408" i="1" s="1"/>
  <c r="H644" i="1" s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F460" i="1"/>
  <c r="F461" i="1" s="1"/>
  <c r="H639" i="1" s="1"/>
  <c r="G460" i="1"/>
  <c r="G461" i="1" s="1"/>
  <c r="H640" i="1" s="1"/>
  <c r="H460" i="1"/>
  <c r="F470" i="1"/>
  <c r="G470" i="1"/>
  <c r="I470" i="1"/>
  <c r="F474" i="1"/>
  <c r="G474" i="1"/>
  <c r="G476" i="1" s="1"/>
  <c r="H623" i="1" s="1"/>
  <c r="H474" i="1"/>
  <c r="I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30" i="1"/>
  <c r="H632" i="1"/>
  <c r="H633" i="1"/>
  <c r="H635" i="1"/>
  <c r="H636" i="1"/>
  <c r="G639" i="1"/>
  <c r="G641" i="1"/>
  <c r="G643" i="1"/>
  <c r="J643" i="1" s="1"/>
  <c r="H643" i="1"/>
  <c r="G644" i="1"/>
  <c r="G645" i="1"/>
  <c r="H647" i="1"/>
  <c r="G649" i="1"/>
  <c r="J649" i="1" s="1"/>
  <c r="G650" i="1"/>
  <c r="G651" i="1"/>
  <c r="J651" i="1" s="1"/>
  <c r="G652" i="1"/>
  <c r="H652" i="1"/>
  <c r="G653" i="1"/>
  <c r="H653" i="1"/>
  <c r="G654" i="1"/>
  <c r="H654" i="1"/>
  <c r="H655" i="1"/>
  <c r="C26" i="10"/>
  <c r="D18" i="2"/>
  <c r="F18" i="2"/>
  <c r="E103" i="2"/>
  <c r="D91" i="2"/>
  <c r="G62" i="2"/>
  <c r="E13" i="13"/>
  <c r="C13" i="13" s="1"/>
  <c r="E78" i="2"/>
  <c r="J257" i="1"/>
  <c r="J271" i="1" s="1"/>
  <c r="H112" i="1"/>
  <c r="L433" i="1"/>
  <c r="D81" i="2"/>
  <c r="I169" i="1"/>
  <c r="F476" i="1"/>
  <c r="H622" i="1" s="1"/>
  <c r="J622" i="1" s="1"/>
  <c r="I476" i="1"/>
  <c r="H625" i="1" s="1"/>
  <c r="J625" i="1" s="1"/>
  <c r="J140" i="1"/>
  <c r="G22" i="2"/>
  <c r="H140" i="1"/>
  <c r="H571" i="1"/>
  <c r="J545" i="1"/>
  <c r="H192" i="1"/>
  <c r="J636" i="1"/>
  <c r="L565" i="1"/>
  <c r="E31" i="2" l="1"/>
  <c r="H52" i="1"/>
  <c r="H619" i="1" s="1"/>
  <c r="J619" i="1" s="1"/>
  <c r="A13" i="12"/>
  <c r="J634" i="1"/>
  <c r="J644" i="1"/>
  <c r="L427" i="1"/>
  <c r="L401" i="1"/>
  <c r="C139" i="2" s="1"/>
  <c r="H552" i="1"/>
  <c r="K549" i="1"/>
  <c r="F552" i="1"/>
  <c r="I545" i="1"/>
  <c r="G545" i="1"/>
  <c r="G552" i="1"/>
  <c r="L529" i="1"/>
  <c r="H545" i="1"/>
  <c r="J552" i="1"/>
  <c r="K598" i="1"/>
  <c r="G647" i="1" s="1"/>
  <c r="J647" i="1" s="1"/>
  <c r="G164" i="2"/>
  <c r="J640" i="1"/>
  <c r="J639" i="1"/>
  <c r="L393" i="1"/>
  <c r="C138" i="2" s="1"/>
  <c r="J623" i="1"/>
  <c r="D31" i="2"/>
  <c r="J617" i="1"/>
  <c r="C18" i="2"/>
  <c r="C70" i="2"/>
  <c r="C109" i="2"/>
  <c r="F112" i="1"/>
  <c r="C36" i="10" s="1"/>
  <c r="C62" i="2"/>
  <c r="C63" i="2" s="1"/>
  <c r="C10" i="10"/>
  <c r="L290" i="1"/>
  <c r="E109" i="2"/>
  <c r="L256" i="1"/>
  <c r="F661" i="1"/>
  <c r="J655" i="1"/>
  <c r="H661" i="1"/>
  <c r="F338" i="1"/>
  <c r="F352" i="1" s="1"/>
  <c r="C32" i="10"/>
  <c r="A40" i="12"/>
  <c r="L270" i="1"/>
  <c r="D15" i="13"/>
  <c r="C15" i="13" s="1"/>
  <c r="E119" i="2"/>
  <c r="E118" i="2"/>
  <c r="L309" i="1"/>
  <c r="K257" i="1"/>
  <c r="K271" i="1" s="1"/>
  <c r="H257" i="1"/>
  <c r="H271" i="1" s="1"/>
  <c r="I662" i="1"/>
  <c r="E62" i="2"/>
  <c r="E63" i="2" s="1"/>
  <c r="I257" i="1"/>
  <c r="I271" i="1" s="1"/>
  <c r="C78" i="2"/>
  <c r="C81" i="2" s="1"/>
  <c r="D14" i="13"/>
  <c r="C14" i="13" s="1"/>
  <c r="D12" i="13"/>
  <c r="C12" i="13" s="1"/>
  <c r="C15" i="10"/>
  <c r="D6" i="13"/>
  <c r="C6" i="13" s="1"/>
  <c r="L328" i="1"/>
  <c r="E121" i="2"/>
  <c r="D62" i="2"/>
  <c r="D63" i="2" s="1"/>
  <c r="H338" i="1"/>
  <c r="H352" i="1" s="1"/>
  <c r="C11" i="10"/>
  <c r="L229" i="1"/>
  <c r="C16" i="10"/>
  <c r="D7" i="13"/>
  <c r="C7" i="13" s="1"/>
  <c r="F257" i="1"/>
  <c r="F271" i="1" s="1"/>
  <c r="C18" i="10"/>
  <c r="L247" i="1"/>
  <c r="C17" i="10"/>
  <c r="E8" i="13"/>
  <c r="C8" i="13" s="1"/>
  <c r="G257" i="1"/>
  <c r="G271" i="1" s="1"/>
  <c r="G338" i="1"/>
  <c r="G352" i="1" s="1"/>
  <c r="C16" i="13"/>
  <c r="J641" i="1"/>
  <c r="E115" i="2"/>
  <c r="K551" i="1"/>
  <c r="D5" i="13"/>
  <c r="C5" i="13" s="1"/>
  <c r="F22" i="13"/>
  <c r="C22" i="13" s="1"/>
  <c r="K550" i="1"/>
  <c r="D29" i="13"/>
  <c r="C29" i="13" s="1"/>
  <c r="G624" i="1"/>
  <c r="L534" i="1"/>
  <c r="K500" i="1"/>
  <c r="I460" i="1"/>
  <c r="I452" i="1"/>
  <c r="I446" i="1"/>
  <c r="G642" i="1" s="1"/>
  <c r="C125" i="2"/>
  <c r="C123" i="2"/>
  <c r="C121" i="2"/>
  <c r="C119" i="2"/>
  <c r="C114" i="2"/>
  <c r="C110" i="2"/>
  <c r="G661" i="1"/>
  <c r="L211" i="1"/>
  <c r="F660" i="1" s="1"/>
  <c r="C20" i="10"/>
  <c r="L362" i="1"/>
  <c r="G635" i="1" s="1"/>
  <c r="J635" i="1" s="1"/>
  <c r="C35" i="10"/>
  <c r="C29" i="10"/>
  <c r="L544" i="1"/>
  <c r="L524" i="1"/>
  <c r="J338" i="1"/>
  <c r="J352" i="1" s="1"/>
  <c r="D127" i="2"/>
  <c r="D128" i="2" s="1"/>
  <c r="D145" i="2" s="1"/>
  <c r="C120" i="2"/>
  <c r="C13" i="10"/>
  <c r="H25" i="13"/>
  <c r="F169" i="1"/>
  <c r="E81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29" i="1" l="1"/>
  <c r="H468" i="1"/>
  <c r="C141" i="2"/>
  <c r="C144" i="2" s="1"/>
  <c r="G638" i="1"/>
  <c r="J472" i="1"/>
  <c r="G646" i="1"/>
  <c r="J468" i="1"/>
  <c r="L338" i="1"/>
  <c r="L352" i="1" s="1"/>
  <c r="G633" i="1" s="1"/>
  <c r="J633" i="1" s="1"/>
  <c r="C104" i="2"/>
  <c r="D104" i="2"/>
  <c r="C39" i="10"/>
  <c r="F193" i="1"/>
  <c r="G627" i="1" s="1"/>
  <c r="J627" i="1" s="1"/>
  <c r="I661" i="1"/>
  <c r="E128" i="2"/>
  <c r="E145" i="2" s="1"/>
  <c r="G660" i="1"/>
  <c r="G664" i="1" s="1"/>
  <c r="H648" i="1"/>
  <c r="J648" i="1" s="1"/>
  <c r="D31" i="13"/>
  <c r="C31" i="13" s="1"/>
  <c r="H660" i="1"/>
  <c r="H664" i="1" s="1"/>
  <c r="H667" i="1" s="1"/>
  <c r="E33" i="13"/>
  <c r="D35" i="13" s="1"/>
  <c r="C128" i="2"/>
  <c r="F664" i="1"/>
  <c r="C28" i="10"/>
  <c r="D22" i="10" s="1"/>
  <c r="K552" i="1"/>
  <c r="L257" i="1"/>
  <c r="L271" i="1" s="1"/>
  <c r="G632" i="1" s="1"/>
  <c r="J632" i="1" s="1"/>
  <c r="C25" i="13"/>
  <c r="H33" i="13"/>
  <c r="L408" i="1"/>
  <c r="L545" i="1"/>
  <c r="C115" i="2"/>
  <c r="I461" i="1"/>
  <c r="H642" i="1" s="1"/>
  <c r="J642" i="1" s="1"/>
  <c r="C51" i="2"/>
  <c r="G631" i="1"/>
  <c r="G193" i="1"/>
  <c r="G628" i="1" s="1"/>
  <c r="J628" i="1" s="1"/>
  <c r="G626" i="1"/>
  <c r="J52" i="1"/>
  <c r="H621" i="1" s="1"/>
  <c r="J621" i="1" s="1"/>
  <c r="C38" i="10"/>
  <c r="H470" i="1" l="1"/>
  <c r="H476" i="1" s="1"/>
  <c r="H624" i="1" s="1"/>
  <c r="J624" i="1" s="1"/>
  <c r="H629" i="1"/>
  <c r="J629" i="1" s="1"/>
  <c r="H638" i="1"/>
  <c r="J638" i="1" s="1"/>
  <c r="J474" i="1"/>
  <c r="H637" i="1"/>
  <c r="J470" i="1"/>
  <c r="H631" i="1"/>
  <c r="J631" i="1"/>
  <c r="D33" i="13"/>
  <c r="D36" i="13" s="1"/>
  <c r="I660" i="1"/>
  <c r="I664" i="1" s="1"/>
  <c r="I672" i="1" s="1"/>
  <c r="C7" i="10" s="1"/>
  <c r="H672" i="1"/>
  <c r="C6" i="10" s="1"/>
  <c r="C145" i="2"/>
  <c r="D10" i="10"/>
  <c r="D17" i="10"/>
  <c r="D16" i="10"/>
  <c r="D26" i="10"/>
  <c r="D27" i="10"/>
  <c r="C30" i="10"/>
  <c r="D18" i="10"/>
  <c r="D12" i="10"/>
  <c r="D24" i="10"/>
  <c r="D23" i="10"/>
  <c r="D20" i="10"/>
  <c r="D15" i="10"/>
  <c r="D25" i="10"/>
  <c r="D19" i="10"/>
  <c r="G637" i="1"/>
  <c r="H646" i="1"/>
  <c r="J646" i="1" s="1"/>
  <c r="D13" i="10"/>
  <c r="D11" i="10"/>
  <c r="D21" i="10"/>
  <c r="G667" i="1"/>
  <c r="G672" i="1"/>
  <c r="C5" i="10" s="1"/>
  <c r="F672" i="1"/>
  <c r="C4" i="10" s="1"/>
  <c r="F667" i="1"/>
  <c r="C41" i="10"/>
  <c r="D38" i="10" s="1"/>
  <c r="J476" i="1" l="1"/>
  <c r="H626" i="1" s="1"/>
  <c r="J626" i="1" s="1"/>
  <c r="J637" i="1"/>
  <c r="H656" i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<sst xmlns="http://schemas.openxmlformats.org/spreadsheetml/2006/main" count="3959" uniqueCount="917">
  <si>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</si>
  <si>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</si>
  <si>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</si>
  <si>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</si>
  <si>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</si>
  <si>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</si>
  <si>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</si>
  <si>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</si>
  <si>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</si>
  <si>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</si>
  <si>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</si>
  <si>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</si>
  <si>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</si>
  <si>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</si>
  <si>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</si>
  <si>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</si>
  <si>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</si>
  <si>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</si>
  <si>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</si>
  <si>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</si>
  <si>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</si>
  <si>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</si>
  <si>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</si>
  <si>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</si>
  <si>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</si>
  <si>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</si>
  <si>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</si>
  <si>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</si>
  <si>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</si>
  <si>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</si>
  <si>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</si>
  <si>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</si>
  <si>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</si>
  <si>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</si>
  <si>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</si>
  <si>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</si>
  <si>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</si>
  <si>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</si>
  <si>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</si>
  <si>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</si>
  <si>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</si>
  <si>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</si>
  <si>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</si>
  <si>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</si>
  <si>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</si>
  <si>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</si>
  <si>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</si>
  <si>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</si>
  <si>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</si>
  <si>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</si>
  <si>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</si>
  <si>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</si>
  <si>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</si>
  <si>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</si>
  <si>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</si>
  <si>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</si>
  <si>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</si>
  <si>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</si>
  <si>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</si>
  <si>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</si>
  <si>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</si>
  <si>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</si>
  <si>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</si>
  <si>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</si>
  <si>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</si>
  <si>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</si>
  <si>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</si>
  <si>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</si>
  <si>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</si>
  <si>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</si>
  <si>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</si>
  <si>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</si>
  <si>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</si>
  <si>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</si>
  <si>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</si>
  <si>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</si>
  <si>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</si>
  <si>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</si>
  <si>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</si>
  <si>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</si>
  <si>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</si>
  <si>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</si>
  <si>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</si>
  <si>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</si>
  <si>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</si>
  <si>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</si>
  <si>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</si>
  <si>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</si>
  <si>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</si>
  <si>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</si>
  <si>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</si>
  <si>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</si>
  <si>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</si>
  <si>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</si>
  <si>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</si>
  <si>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</si>
  <si>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</si>
  <si>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</si>
  <si>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</si>
  <si>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</si>
  <si>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</si>
  <si>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</si>
  <si>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</si>
  <si>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</si>
  <si>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</si>
  <si>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</si>
  <si>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</si>
  <si>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</si>
  <si>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</si>
  <si>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</si>
  <si>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</si>
  <si>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</si>
  <si>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</si>
  <si>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</si>
  <si>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</si>
  <si>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</si>
  <si>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</si>
  <si>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</si>
  <si>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</si>
  <si>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</si>
  <si>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</si>
  <si>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</si>
  <si>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</si>
  <si>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</si>
  <si>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</si>
  <si>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</si>
  <si>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</si>
  <si>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</si>
  <si>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</si>
  <si>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</si>
  <si>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</si>
  <si>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</si>
  <si>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</si>
  <si>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</si>
  <si>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</si>
  <si>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</si>
  <si>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</si>
  <si>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</si>
  <si>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</si>
  <si>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</si>
  <si>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</si>
  <si>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</si>
  <si>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</si>
  <si>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</si>
  <si>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</si>
  <si>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</si>
  <si>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</si>
  <si>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</si>
  <si>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</si>
  <si>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</si>
  <si>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</si>
  <si>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</si>
  <si>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</si>
  <si>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</si>
  <si>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</si>
  <si>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</si>
  <si>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</si>
  <si>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</si>
  <si>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</si>
  <si>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</si>
  <si>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</si>
  <si>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</si>
  <si>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</si>
  <si>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</si>
  <si>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</si>
  <si>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</si>
  <si>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</si>
  <si>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</si>
  <si>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</si>
  <si>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</si>
  <si>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</si>
  <si>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</si>
  <si>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</si>
  <si>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</si>
  <si>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</si>
  <si>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</si>
  <si>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</si>
  <si>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</si>
  <si>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</si>
  <si>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</si>
  <si>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</si>
  <si>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</si>
  <si>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</si>
  <si>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</si>
  <si>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</si>
  <si>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</si>
  <si>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</si>
  <si>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</si>
  <si>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</si>
  <si>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</si>
  <si>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</si>
  <si>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</si>
  <si>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</si>
  <si>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</si>
  <si>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</si>
  <si>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</si>
  <si>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</si>
  <si>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</si>
  <si>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</si>
  <si>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</si>
  <si>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</si>
  <si>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</si>
  <si>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</si>
  <si>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</si>
  <si>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</si>
  <si>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</si>
  <si>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</si>
  <si>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</si>
  <si>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</si>
  <si>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</si>
  <si>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</si>
  <si>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</si>
  <si>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</si>
  <si>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</si>
  <si>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</si>
  <si>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</si>
  <si>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</si>
  <si>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</si>
  <si>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</si>
  <si>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</si>
  <si>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</si>
  <si>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</si>
  <si>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</si>
  <si>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</si>
  <si>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</si>
  <si>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</si>
  <si>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</si>
  <si>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</si>
  <si>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</si>
  <si>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</si>
  <si>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</si>
  <si>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</si>
  <si>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</si>
  <si>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</si>
  <si>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</si>
  <si>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</si>
  <si>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</si>
  <si>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</si>
  <si>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</si>
  <si>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</si>
  <si>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</si>
  <si>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</si>
  <si>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</si>
  <si>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</si>
  <si>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</si>
  <si>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</si>
  <si>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</si>
  <si>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</si>
  <si>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</si>
  <si>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</si>
  <si>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</si>
  <si>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</si>
  <si>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</si>
  <si>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</si>
  <si>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</si>
  <si>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</si>
  <si>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</si>
  <si>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</si>
  <si>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</si>
  <si>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</si>
  <si>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</si>
  <si>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</si>
  <si>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</si>
  <si>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</si>
  <si>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</si>
  <si>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</si>
  <si>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</si>
  <si>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</si>
  <si>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</si>
  <si>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</si>
  <si>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</si>
  <si>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</si>
  <si>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</si>
  <si>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</si>
  <si>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</si>
  <si>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</si>
  <si>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</si>
  <si>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</si>
  <si>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</si>
  <si>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</si>
  <si>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</si>
  <si>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</si>
  <si>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</si>
  <si>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</si>
  <si>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</si>
  <si>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</si>
  <si>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</si>
  <si>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</si>
  <si>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</si>
  <si>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</si>
  <si>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</si>
  <si>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</si>
  <si>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</si>
  <si>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</si>
  <si>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</si>
  <si>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</si>
  <si>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</si>
  <si>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</si>
  <si>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</si>
  <si>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</si>
  <si>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</si>
  <si>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</si>
  <si>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</si>
  <si>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</si>
  <si>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</si>
  <si>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</si>
  <si>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</si>
  <si>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</si>
  <si>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</si>
  <si>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</si>
  <si>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</si>
  <si>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</si>
  <si>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</si>
  <si>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</si>
  <si>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</si>
  <si>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</si>
  <si>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</si>
  <si>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</si>
  <si>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</si>
  <si>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</si>
  <si>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</si>
  <si>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</si>
  <si>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</si>
  <si>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</si>
  <si>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</si>
  <si>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</si>
  <si>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</si>
  <si>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</si>
  <si>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</si>
  <si>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</si>
  <si>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</si>
  <si>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</si>
  <si>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</si>
  <si>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</si>
  <si>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</si>
  <si>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</si>
  <si>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</si>
  <si>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</si>
  <si>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</si>
  <si>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</si>
  <si>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</si>
  <si>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</si>
  <si>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</si>
  <si>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</si>
  <si>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</si>
  <si>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</si>
  <si>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</si>
  <si>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</si>
  <si>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</si>
  <si>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</si>
  <si>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</si>
  <si>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</si>
  <si>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</si>
  <si>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</si>
  <si>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</si>
  <si>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</si>
  <si>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</si>
  <si>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</si>
  <si>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</si>
  <si>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</si>
  <si>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</si>
  <si>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</si>
  <si>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</si>
  <si>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</si>
  <si>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</si>
  <si>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</si>
  <si>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</si>
  <si>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</si>
  <si>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</si>
  <si>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</si>
  <si>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</si>
  <si>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</si>
  <si>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</si>
  <si>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</si>
  <si>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</si>
  <si>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</si>
  <si>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</si>
  <si>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</si>
  <si>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</si>
  <si>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</si>
  <si>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</si>
  <si>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</si>
  <si>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</si>
  <si>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</si>
  <si>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</si>
  <si>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</si>
  <si>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</si>
  <si>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</si>
  <si>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</si>
  <si>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</si>
  <si>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</si>
  <si>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</si>
  <si>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</si>
  <si>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</si>
  <si>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</si>
  <si>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</si>
  <si>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</si>
  <si>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</si>
  <si>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</si>
  <si>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</si>
  <si>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</si>
  <si>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</si>
  <si>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</si>
  <si>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</si>
  <si>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</si>
  <si>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</si>
  <si>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</si>
  <si>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</si>
  <si>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</si>
  <si>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</si>
  <si>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</si>
  <si>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</si>
  <si>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</si>
  <si>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</si>
  <si>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</si>
  <si>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</si>
  <si>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</si>
  <si>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</si>
  <si>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</si>
  <si>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</si>
  <si>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</si>
  <si>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</si>
  <si>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</si>
  <si>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</si>
  <si>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</si>
  <si>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</si>
  <si>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</si>
  <si>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</si>
  <si>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</si>
  <si>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</si>
  <si>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</si>
  <si>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</si>
  <si>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</si>
  <si>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</si>
  <si>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</si>
  <si>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</si>
  <si>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</si>
  <si>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</si>
  <si>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</si>
  <si>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</si>
  <si>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</si>
  <si>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</si>
  <si>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</si>
  <si>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</si>
  <si>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</si>
  <si>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</si>
  <si>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</si>
  <si>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</si>
  <si>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</si>
  <si>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</si>
  <si>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</si>
  <si>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</si>
  <si>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</si>
  <si>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</si>
  <si>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</si>
  <si>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</si>
  <si>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</si>
  <si>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</si>
  <si>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</si>
  <si>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</si>
  <si>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</si>
  <si>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</si>
  <si>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</si>
  <si>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</si>
  <si>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</si>
  <si>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</si>
  <si>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</si>
  <si>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</si>
  <si>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</si>
  <si>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</si>
  <si>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</si>
  <si>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</si>
  <si>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</si>
  <si>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</si>
  <si>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</si>
  <si>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</si>
  <si>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</si>
  <si>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</si>
  <si>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</si>
  <si>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</si>
  <si>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</si>
  <si>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</si>
  <si>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</si>
  <si>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</si>
  <si>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</si>
  <si>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</si>
  <si>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</si>
  <si>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</si>
  <si>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</si>
  <si>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</si>
  <si>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</si>
  <si>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</si>
  <si>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</si>
  <si>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</si>
  <si>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</si>
  <si>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</si>
  <si>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</si>
  <si>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</si>
  <si>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</si>
  <si>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</si>
  <si>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</si>
  <si>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</si>
  <si>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</si>
  <si>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</si>
  <si>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</si>
  <si>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</si>
  <si>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</si>
  <si>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</si>
  <si>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</si>
  <si>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</si>
  <si>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</si>
  <si>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</si>
  <si>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</si>
  <si>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</si>
  <si>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</si>
  <si>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</si>
  <si>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</si>
  <si>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</si>
  <si>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</si>
  <si>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</si>
  <si>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</si>
  <si>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</si>
  <si>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</si>
  <si>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</si>
  <si>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</si>
  <si>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</si>
  <si>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</si>
  <si>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</si>
  <si>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</si>
  <si>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</si>
  <si>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</si>
  <si>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</si>
  <si>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</si>
  <si>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</si>
  <si>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</si>
  <si>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</si>
  <si>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</si>
  <si>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</si>
  <si>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</si>
  <si>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</si>
  <si>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</si>
  <si>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</si>
  <si>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</si>
  <si>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</si>
  <si>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</si>
  <si>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</si>
  <si>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</si>
  <si>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</si>
  <si>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</si>
  <si>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</si>
  <si>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</si>
  <si>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</si>
  <si>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</si>
  <si>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</si>
  <si>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</si>
  <si>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</si>
  <si>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</si>
  <si>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</si>
  <si>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</si>
  <si>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</si>
  <si>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</si>
  <si>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</si>
  <si>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</si>
  <si>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</si>
  <si>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</si>
  <si>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</si>
  <si>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</si>
  <si>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</si>
  <si>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</si>
  <si>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</si>
  <si>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</si>
  <si>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</si>
  <si>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</si>
  <si>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</si>
  <si>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</si>
  <si>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</si>
  <si>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</si>
  <si>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</si>
  <si>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</si>
  <si>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</si>
  <si>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</si>
  <si>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</si>
  <si>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</si>
  <si>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</si>
  <si>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</si>
  <si>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</si>
  <si>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</si>
  <si>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</si>
  <si>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</si>
  <si>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</si>
  <si>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</si>
  <si>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</si>
  <si>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</si>
  <si>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</si>
  <si>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</si>
  <si>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</si>
  <si>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</si>
  <si>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</si>
  <si>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</si>
  <si>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</si>
  <si>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</si>
  <si>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</si>
  <si>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</si>
  <si>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</si>
  <si>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</si>
  <si>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</si>
  <si>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</si>
  <si>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</si>
  <si>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</si>
  <si>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</si>
  <si>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</si>
  <si>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</si>
  <si>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</si>
  <si>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</si>
  <si>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</si>
  <si>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</si>
  <si>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</si>
  <si>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</si>
  <si>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</si>
  <si>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</si>
  <si>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</si>
  <si>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</si>
  <si>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</si>
  <si>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</si>
  <si>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</si>
  <si>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</si>
  <si>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</si>
  <si>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</si>
  <si>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</si>
  <si>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</si>
  <si>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</si>
  <si>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</si>
  <si>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</si>
  <si>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</si>
  <si>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</si>
  <si>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</si>
  <si>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</si>
  <si>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</si>
  <si>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</si>
  <si>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</si>
  <si>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</si>
  <si>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</si>
  <si>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</si>
  <si>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</si>
  <si>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</si>
  <si>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</si>
  <si>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</si>
  <si>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</si>
  <si>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</si>
  <si>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</si>
  <si>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</si>
  <si>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</si>
  <si>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</si>
  <si>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</si>
  <si>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</si>
  <si>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</si>
  <si>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</si>
  <si>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</si>
  <si>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</si>
  <si>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</si>
  <si>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</si>
  <si>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</si>
  <si>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</si>
  <si>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</si>
  <si>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</si>
  <si>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</si>
  <si>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</si>
  <si>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</si>
  <si>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</si>
  <si>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</si>
  <si>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</si>
  <si>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</si>
  <si>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</si>
  <si>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</si>
  <si>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</si>
  <si>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</si>
  <si>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</si>
  <si>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</si>
  <si>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</si>
  <si>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</si>
  <si>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</si>
  <si>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</si>
  <si>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</si>
  <si>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</si>
  <si>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</si>
  <si>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</si>
  <si>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</si>
  <si>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</si>
  <si>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</si>
  <si>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</si>
  <si>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</si>
  <si>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</si>
  <si>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</si>
  <si>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</si>
  <si>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</si>
  <si>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</si>
  <si>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</si>
  <si>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</si>
  <si>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</si>
  <si>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</si>
  <si>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</si>
  <si>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</si>
  <si>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</si>
  <si>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</si>
  <si>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</si>
  <si>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</si>
  <si>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</si>
  <si>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</si>
  <si>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</si>
  <si>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</si>
  <si>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</si>
  <si>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</si>
  <si>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</si>
  <si>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</si>
  <si>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</si>
  <si>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</si>
  <si>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</si>
  <si>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</si>
  <si>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</si>
  <si>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</si>
  <si>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</si>
  <si>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</si>
  <si>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</si>
  <si>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</si>
  <si>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</si>
  <si>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</si>
  <si>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</si>
  <si>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</si>
  <si>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</si>
  <si>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</si>
  <si>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</si>
  <si>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</si>
  <si>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</si>
  <si>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</si>
  <si>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</si>
  <si>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</si>
  <si>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</si>
  <si>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</si>
  <si>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</si>
  <si>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</si>
  <si>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</si>
  <si>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</si>
  <si>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</si>
  <si>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</si>
  <si>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</si>
  <si>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</si>
  <si>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</si>
  <si>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</si>
  <si>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</si>
  <si>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</si>
  <si>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</si>
  <si>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</si>
  <si>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</si>
  <si>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</si>
  <si>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</si>
  <si>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</si>
  <si>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</si>
  <si>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</si>
  <si>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</si>
  <si>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</si>
  <si>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</si>
  <si>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</si>
  <si>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</si>
  <si>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</si>
  <si>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</si>
  <si>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</si>
  <si>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</si>
  <si>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</si>
  <si>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</si>
  <si>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</si>
  <si>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</si>
  <si>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</si>
  <si>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</si>
  <si>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</si>
  <si>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</si>
  <si>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</si>
  <si>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</si>
  <si>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</si>
  <si>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</si>
  <si>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</si>
  <si>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</si>
  <si>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</si>
  <si>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</si>
  <si>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</si>
  <si>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</si>
  <si>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</si>
  <si>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</si>
  <si>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</si>
  <si>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</si>
  <si>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</si>
  <si>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</si>
  <si>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</si>
  <si>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</si>
  <si>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</si>
  <si>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</si>
  <si>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</si>
  <si>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</si>
  <si>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</si>
  <si>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</si>
  <si>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</si>
  <si>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</si>
  <si>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</si>
  <si>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</si>
  <si>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</si>
  <si>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</si>
  <si>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</si>
  <si>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</si>
  <si>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</si>
  <si>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</si>
  <si>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</si>
  <si>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</si>
  <si>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</si>
  <si>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</si>
  <si>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</si>
  <si>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</si>
  <si>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</si>
  <si>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</si>
  <si>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</si>
  <si>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</si>
  <si>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</si>
  <si>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</si>
  <si>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</si>
  <si>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</si>
  <si>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</si>
  <si>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</si>
  <si>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</si>
  <si>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</si>
  <si>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</si>
  <si>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</si>
  <si>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</si>
  <si>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</si>
  <si>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</si>
  <si>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</si>
  <si>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</si>
  <si>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</si>
  <si>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</si>
  <si>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</si>
  <si>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</si>
  <si>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</si>
  <si>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</si>
  <si>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</si>
  <si>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</si>
  <si>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</si>
  <si>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</si>
  <si>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</si>
  <si>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</si>
  <si>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</si>
  <si>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</si>
  <si>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</si>
  <si>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</si>
  <si>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</si>
  <si>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</si>
  <si>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</si>
  <si>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</si>
  <si>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</si>
  <si>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</si>
  <si>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</si>
  <si>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</si>
  <si>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</si>
  <si>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</si>
  <si>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</si>
  <si>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</si>
  <si>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</si>
  <si>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</si>
  <si>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</si>
  <si>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</si>
  <si>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</si>
  <si>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</si>
  <si>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</si>
  <si>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</si>
  <si>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</si>
  <si>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</si>
  <si>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</si>
  <si>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</si>
  <si>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</si>
  <si>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</si>
  <si>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</si>
  <si>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</si>
  <si>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</si>
  <si>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</si>
  <si>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</si>
  <si>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</si>
  <si>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</si>
  <si>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</si>
  <si>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</si>
  <si>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</si>
  <si>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</si>
  <si>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</si>
  <si>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</si>
  <si>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</si>
  <si>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</si>
  <si>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</si>
  <si>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</si>
  <si>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</si>
  <si>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</si>
  <si>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</si>
  <si>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</si>
  <si>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</si>
  <si>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</si>
  <si>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</si>
  <si>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</si>
  <si>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</si>
  <si>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</si>
  <si>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</si>
  <si>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</si>
  <si>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</si>
  <si>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</si>
  <si>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</si>
  <si>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</si>
  <si>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</si>
  <si>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</si>
  <si>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12/99</t>
  </si>
  <si>
    <t>01/20</t>
  </si>
  <si>
    <t>Carpenter Trust</t>
  </si>
  <si>
    <t>CARPENTER TRUST</t>
  </si>
  <si>
    <t>PITTSFIELD SCHOOL DISTRICT</t>
  </si>
  <si>
    <t>Previous Year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</si>
</sst>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439</v>
      </c>
      <c r="C2" s="21">
        <v>439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1202358.22</v>
      </c>
      <c r="G9" s="18">
        <v>7992.94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210123.51999999999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23102.12</v>
      </c>
      <c r="G12" s="18"/>
      <c r="H12" s="18">
        <v>65083.7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13394.12</v>
      </c>
      <c r="G13" s="18">
        <v>19042.12</v>
      </c>
      <c r="H13" s="18">
        <v>227990.89</v>
      </c>
      <c r="I13" s="18"/>
      <c r="J13" s="67">
        <f>SUM(I442)</f>
        <v>454013.67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88239.87</v>
      </c>
      <c r="G14" s="18">
        <v>1909.65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4528.6099999999997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1327094.33</v>
      </c>
      <c r="G19" s="41">
        <f>SUM(G9:G18)</f>
        <v>33473.32</v>
      </c>
      <c r="H19" s="41">
        <f>SUM(H9:H18)</f>
        <v>293074.59000000003</v>
      </c>
      <c r="I19" s="41">
        <f>SUM(I9:I18)</f>
        <v>0</v>
      </c>
      <c r="J19" s="41">
        <f>SUM(J9:J18)</f>
        <v>664137.18999999994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87594.18</v>
      </c>
      <c r="G22" s="18">
        <v>23102.12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358399.18</v>
      </c>
      <c r="G24" s="18">
        <v>10371.200000000001</v>
      </c>
      <c r="H24" s="18">
        <v>161693.63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589794.34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131380.96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1035787.7</v>
      </c>
      <c r="G32" s="41">
        <f>SUM(G22:G31)</f>
        <v>33473.32</v>
      </c>
      <c r="H32" s="41">
        <f>SUM(H22:H31)</f>
        <v>293074.58999999997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4528.6099999999997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210123.51999999999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-4528.6099999999997</v>
      </c>
      <c r="H48" s="18"/>
      <c r="I48" s="18"/>
      <c r="J48" s="13">
        <f>SUM(I459)</f>
        <v>454013.67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291306.63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291306.63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664137.18999999994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1327094.33</v>
      </c>
      <c r="G52" s="41">
        <f>G51+G32</f>
        <v>33473.32</v>
      </c>
      <c r="H52" s="41">
        <f>H51+H32</f>
        <v>293074.58999999997</v>
      </c>
      <c r="I52" s="41">
        <f>I51+I32</f>
        <v>0</v>
      </c>
      <c r="J52" s="41">
        <f>J51+J32</f>
        <v>664137.18999999994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3908583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3908583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5537.5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7669.81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13207.310000000001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205.73</v>
      </c>
      <c r="G96" s="18">
        <v>4.3099999999999996</v>
      </c>
      <c r="H96" s="18"/>
      <c r="I96" s="18"/>
      <c r="J96" s="18">
        <v>3876.18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90975.29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954386.15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134636.76999999999</v>
      </c>
      <c r="G110" s="18"/>
      <c r="H110" s="18"/>
      <c r="I110" s="18"/>
      <c r="J110" s="18">
        <v>21993.39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134842.5</v>
      </c>
      <c r="G111" s="41">
        <f>SUM(G96:G110)</f>
        <v>90979.599999999991</v>
      </c>
      <c r="H111" s="41">
        <f>SUM(H96:H110)</f>
        <v>954386.15</v>
      </c>
      <c r="I111" s="41">
        <f>SUM(I96:I110)</f>
        <v>0</v>
      </c>
      <c r="J111" s="41">
        <f>SUM(J96:J110)</f>
        <v>25869.57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4056632.81</v>
      </c>
      <c r="G112" s="41">
        <f>G60+G111</f>
        <v>90979.599999999991</v>
      </c>
      <c r="H112" s="41">
        <f>H60+H79+H94+H111</f>
        <v>954386.15</v>
      </c>
      <c r="I112" s="41">
        <f>I60+I111</f>
        <v>0</v>
      </c>
      <c r="J112" s="41">
        <f>J60+J111</f>
        <v>25869.57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4187006.16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532487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4719493.16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100163.26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135898.51999999999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7365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3937.58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243426.77999999997</v>
      </c>
      <c r="G136" s="41">
        <f>SUM(G123:G135)</f>
        <v>3937.58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4962919.9400000004</v>
      </c>
      <c r="G140" s="41">
        <f>G121+SUM(G136:G137)</f>
        <v>3937.58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279604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38840.379999999997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206696.41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167720.75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179554.85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179554.85</v>
      </c>
      <c r="G162" s="41">
        <f>SUM(G150:G161)</f>
        <v>206696.41</v>
      </c>
      <c r="H162" s="41">
        <f>SUM(H150:H161)</f>
        <v>486165.13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31084.68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179554.85</v>
      </c>
      <c r="G169" s="41">
        <f>G147+G162+SUM(G163:G168)</f>
        <v>206696.41</v>
      </c>
      <c r="H169" s="41">
        <f>H147+H162+SUM(H163:H168)</f>
        <v>517249.81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13592.72</v>
      </c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8671.2900000000009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8671.2900000000009</v>
      </c>
      <c r="G183" s="41">
        <f>SUM(G179:G182)</f>
        <v>13592.72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8671.2900000000009</v>
      </c>
      <c r="G192" s="41">
        <f>G183+SUM(G188:G191)</f>
        <v>13592.72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9207778.8899999987</v>
      </c>
      <c r="G193" s="47">
        <f>G112+G140+G169+G192</f>
        <v>315206.30999999994</v>
      </c>
      <c r="H193" s="47">
        <f>H112+H140+H169+H192</f>
        <v>1471635.96</v>
      </c>
      <c r="I193" s="47">
        <f>I112+I140+I169+I192</f>
        <v>0</v>
      </c>
      <c r="J193" s="47">
        <f>J112+J140+J192</f>
        <v>175869.57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929316.01</v>
      </c>
      <c r="G197" s="18">
        <v>474936.25</v>
      </c>
      <c r="H197" s="18">
        <v>4981.6899999999996</v>
      </c>
      <c r="I197" s="18">
        <v>63041.02</v>
      </c>
      <c r="J197" s="18">
        <v>4488.92</v>
      </c>
      <c r="K197" s="18">
        <v>5422.12</v>
      </c>
      <c r="L197" s="19">
        <f>SUM(F197:K197)</f>
        <v>1482186.01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537679.4</v>
      </c>
      <c r="G198" s="18">
        <v>218341.74</v>
      </c>
      <c r="H198" s="18">
        <v>148098.73000000001</v>
      </c>
      <c r="I198" s="18">
        <v>2897.84</v>
      </c>
      <c r="J198" s="18"/>
      <c r="K198" s="18">
        <v>828</v>
      </c>
      <c r="L198" s="19">
        <f>SUM(F198:K198)</f>
        <v>907845.71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208196.39</v>
      </c>
      <c r="G202" s="18">
        <v>119343.36</v>
      </c>
      <c r="H202" s="18">
        <v>26039.87</v>
      </c>
      <c r="I202" s="18">
        <v>3504.8</v>
      </c>
      <c r="J202" s="18"/>
      <c r="K202" s="18">
        <v>145</v>
      </c>
      <c r="L202" s="19">
        <f t="shared" ref="L202:L208" si="0">SUM(F202:K202)</f>
        <v>357229.42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47573.37</v>
      </c>
      <c r="G203" s="18">
        <v>22439.52</v>
      </c>
      <c r="H203" s="18">
        <v>44560.54</v>
      </c>
      <c r="I203" s="18">
        <v>17110.03</v>
      </c>
      <c r="J203" s="18">
        <v>103091.58</v>
      </c>
      <c r="K203" s="18"/>
      <c r="L203" s="19">
        <f t="shared" si="0"/>
        <v>234775.03999999998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102896.31+9212.33</f>
        <v>112108.64</v>
      </c>
      <c r="G204" s="18">
        <v>51748.72</v>
      </c>
      <c r="H204" s="18">
        <v>25468.71</v>
      </c>
      <c r="I204" s="18">
        <v>2740.69</v>
      </c>
      <c r="J204" s="18">
        <v>2862.32</v>
      </c>
      <c r="K204" s="18">
        <v>3554.5</v>
      </c>
      <c r="L204" s="19">
        <f t="shared" si="0"/>
        <v>198483.58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268073.18</v>
      </c>
      <c r="G205" s="18">
        <v>113105.63</v>
      </c>
      <c r="H205" s="18">
        <v>16312.66</v>
      </c>
      <c r="I205" s="18">
        <v>4078.74</v>
      </c>
      <c r="J205" s="18"/>
      <c r="K205" s="18">
        <v>554.86</v>
      </c>
      <c r="L205" s="19">
        <f t="shared" si="0"/>
        <v>402125.06999999995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101610</v>
      </c>
      <c r="G207" s="18">
        <v>67815.23</v>
      </c>
      <c r="H207" s="18">
        <v>131167.67999999999</v>
      </c>
      <c r="I207" s="18">
        <v>89828.98</v>
      </c>
      <c r="J207" s="18">
        <v>22426.32</v>
      </c>
      <c r="K207" s="18"/>
      <c r="L207" s="19">
        <f t="shared" si="0"/>
        <v>412848.20999999996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269815.02</v>
      </c>
      <c r="I208" s="18"/>
      <c r="J208" s="18"/>
      <c r="K208" s="18"/>
      <c r="L208" s="19">
        <f t="shared" si="0"/>
        <v>269815.02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2204556.9900000002</v>
      </c>
      <c r="G211" s="41">
        <f t="shared" si="1"/>
        <v>1067730.45</v>
      </c>
      <c r="H211" s="41">
        <f t="shared" si="1"/>
        <v>666444.9</v>
      </c>
      <c r="I211" s="41">
        <f t="shared" si="1"/>
        <v>183202.1</v>
      </c>
      <c r="J211" s="41">
        <f t="shared" si="1"/>
        <v>132869.14000000001</v>
      </c>
      <c r="K211" s="41">
        <f t="shared" si="1"/>
        <v>10504.48</v>
      </c>
      <c r="L211" s="41">
        <f t="shared" si="1"/>
        <v>4265308.0599999996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257221.81</v>
      </c>
      <c r="G215" s="18">
        <v>136836.04</v>
      </c>
      <c r="H215" s="18">
        <v>220.5</v>
      </c>
      <c r="I215" s="18">
        <v>27885.55</v>
      </c>
      <c r="J215" s="18"/>
      <c r="K215" s="18">
        <v>2735.44</v>
      </c>
      <c r="L215" s="19">
        <f>SUM(F215:K215)</f>
        <v>424899.33999999997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309385.61</v>
      </c>
      <c r="G216" s="18">
        <v>98009.08</v>
      </c>
      <c r="H216" s="18">
        <v>142220.6</v>
      </c>
      <c r="I216" s="18">
        <v>1440.18</v>
      </c>
      <c r="J216" s="18"/>
      <c r="K216" s="18">
        <v>82.4</v>
      </c>
      <c r="L216" s="19">
        <f>SUM(F216:K216)</f>
        <v>551137.87000000011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10448.75</v>
      </c>
      <c r="G218" s="18">
        <v>1241.6300000000001</v>
      </c>
      <c r="H218" s="18">
        <v>5467.13</v>
      </c>
      <c r="I218" s="18">
        <v>4646.82</v>
      </c>
      <c r="J218" s="18"/>
      <c r="K218" s="18">
        <v>1370.5</v>
      </c>
      <c r="L218" s="19">
        <f>SUM(F218:K218)</f>
        <v>23174.83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69825.75</v>
      </c>
      <c r="G220" s="18">
        <v>38001.01</v>
      </c>
      <c r="H220" s="18">
        <v>48706.07</v>
      </c>
      <c r="I220" s="18">
        <v>1813.73</v>
      </c>
      <c r="J220" s="18"/>
      <c r="K220" s="18">
        <v>52.5</v>
      </c>
      <c r="L220" s="19">
        <f t="shared" ref="L220:L226" si="2">SUM(F220:K220)</f>
        <v>158399.06000000003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29979.49</v>
      </c>
      <c r="G221" s="18">
        <v>16987.560000000001</v>
      </c>
      <c r="H221" s="18">
        <v>21901.94</v>
      </c>
      <c r="I221" s="18">
        <v>7016.96</v>
      </c>
      <c r="J221" s="18">
        <v>19258.77</v>
      </c>
      <c r="K221" s="18">
        <v>7.5</v>
      </c>
      <c r="L221" s="19">
        <f t="shared" si="2"/>
        <v>95152.220000000016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28062.63+2512.46</f>
        <v>30575.09</v>
      </c>
      <c r="G222" s="18">
        <v>14153.23</v>
      </c>
      <c r="H222" s="18">
        <v>6946</v>
      </c>
      <c r="I222" s="18">
        <v>747.45</v>
      </c>
      <c r="J222" s="18">
        <v>780.63</v>
      </c>
      <c r="K222" s="18">
        <v>969.41</v>
      </c>
      <c r="L222" s="19">
        <f t="shared" si="2"/>
        <v>54171.81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76405.759999999995</v>
      </c>
      <c r="G223" s="18">
        <v>31185.54</v>
      </c>
      <c r="H223" s="18">
        <v>9624.2099999999991</v>
      </c>
      <c r="I223" s="18">
        <v>4004.92</v>
      </c>
      <c r="J223" s="18"/>
      <c r="K223" s="18">
        <v>44.37</v>
      </c>
      <c r="L223" s="19">
        <f t="shared" si="2"/>
        <v>121264.79999999997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40623.1</v>
      </c>
      <c r="G225" s="18">
        <v>29784.94</v>
      </c>
      <c r="H225" s="18">
        <v>63610.98</v>
      </c>
      <c r="I225" s="18">
        <v>69709</v>
      </c>
      <c r="J225" s="18">
        <v>4022.46</v>
      </c>
      <c r="K225" s="18"/>
      <c r="L225" s="19">
        <f t="shared" si="2"/>
        <v>207750.47999999998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122956.4</v>
      </c>
      <c r="I226" s="18"/>
      <c r="J226" s="18"/>
      <c r="K226" s="18"/>
      <c r="L226" s="19">
        <f t="shared" si="2"/>
        <v>122956.4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824465.35999999987</v>
      </c>
      <c r="G229" s="41">
        <f>SUM(G215:G228)</f>
        <v>366199.02999999997</v>
      </c>
      <c r="H229" s="41">
        <f>SUM(H215:H228)</f>
        <v>421653.82999999996</v>
      </c>
      <c r="I229" s="41">
        <f>SUM(I215:I228)</f>
        <v>117264.61</v>
      </c>
      <c r="J229" s="41">
        <f>SUM(J215:J228)</f>
        <v>24061.86</v>
      </c>
      <c r="K229" s="41">
        <f t="shared" si="3"/>
        <v>5262.12</v>
      </c>
      <c r="L229" s="41">
        <f t="shared" si="3"/>
        <v>1758906.81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716468.8</v>
      </c>
      <c r="G233" s="18">
        <v>321578.13</v>
      </c>
      <c r="H233" s="18">
        <v>557.25</v>
      </c>
      <c r="I233" s="18">
        <v>51940.97</v>
      </c>
      <c r="J233" s="18">
        <v>247</v>
      </c>
      <c r="K233" s="18">
        <v>5178.68</v>
      </c>
      <c r="L233" s="19">
        <f>SUM(F233:K233)</f>
        <v>1095970.83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256665.31</v>
      </c>
      <c r="G234" s="18">
        <v>111693.63</v>
      </c>
      <c r="H234" s="18">
        <v>57851.27</v>
      </c>
      <c r="I234" s="18">
        <v>2253.2600000000002</v>
      </c>
      <c r="J234" s="18"/>
      <c r="K234" s="18">
        <v>114.6</v>
      </c>
      <c r="L234" s="19">
        <f>SUM(F234:K234)</f>
        <v>428578.07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28291.919999999998</v>
      </c>
      <c r="I235" s="18"/>
      <c r="J235" s="18"/>
      <c r="K235" s="18"/>
      <c r="L235" s="19">
        <f>SUM(F235:K235)</f>
        <v>28291.919999999998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46641.25</v>
      </c>
      <c r="G236" s="18">
        <v>5801.96</v>
      </c>
      <c r="H236" s="18">
        <v>14563.42</v>
      </c>
      <c r="I236" s="18">
        <v>16922.02</v>
      </c>
      <c r="J236" s="18"/>
      <c r="K236" s="18">
        <v>4486.5</v>
      </c>
      <c r="L236" s="19">
        <f>SUM(F236:K236)</f>
        <v>88415.150000000009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117114.38</v>
      </c>
      <c r="G238" s="18">
        <v>65259.5</v>
      </c>
      <c r="H238" s="18">
        <v>23718.38</v>
      </c>
      <c r="I238" s="18">
        <v>4228.57</v>
      </c>
      <c r="J238" s="18">
        <v>2082.3000000000002</v>
      </c>
      <c r="K238" s="18">
        <v>97.5</v>
      </c>
      <c r="L238" s="19">
        <f t="shared" ref="L238:L244" si="4">SUM(F238:K238)</f>
        <v>212500.63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59058.19</v>
      </c>
      <c r="G239" s="18">
        <v>40279.230000000003</v>
      </c>
      <c r="H239" s="18">
        <v>45930.44</v>
      </c>
      <c r="I239" s="18">
        <v>18139.150000000001</v>
      </c>
      <c r="J239" s="18">
        <v>37341.75</v>
      </c>
      <c r="K239" s="18">
        <v>7.5</v>
      </c>
      <c r="L239" s="19">
        <f t="shared" si="4"/>
        <v>200756.26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56125.26+5024.9</f>
        <v>61150.16</v>
      </c>
      <c r="G240" s="18">
        <v>28280.6</v>
      </c>
      <c r="H240" s="18">
        <v>13892.01</v>
      </c>
      <c r="I240" s="18">
        <v>1494.92</v>
      </c>
      <c r="J240" s="18">
        <v>1561.27</v>
      </c>
      <c r="K240" s="18">
        <v>1938.83</v>
      </c>
      <c r="L240" s="19">
        <f t="shared" si="4"/>
        <v>108317.79000000001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140561.43</v>
      </c>
      <c r="G241" s="18">
        <v>56601.37</v>
      </c>
      <c r="H241" s="18">
        <v>18554.419999999998</v>
      </c>
      <c r="I241" s="18">
        <v>7861.33</v>
      </c>
      <c r="J241" s="18"/>
      <c r="K241" s="18">
        <v>1067.6500000000001</v>
      </c>
      <c r="L241" s="19">
        <f t="shared" si="4"/>
        <v>224646.19999999995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75514.8</v>
      </c>
      <c r="G243" s="18">
        <v>55578.75</v>
      </c>
      <c r="H243" s="18">
        <v>121097.77</v>
      </c>
      <c r="I243" s="18">
        <v>130218.05</v>
      </c>
      <c r="J243" s="18">
        <v>7470.33</v>
      </c>
      <c r="K243" s="18"/>
      <c r="L243" s="19">
        <f t="shared" si="4"/>
        <v>389879.7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148052.44</v>
      </c>
      <c r="I244" s="18"/>
      <c r="J244" s="18"/>
      <c r="K244" s="18"/>
      <c r="L244" s="19">
        <f t="shared" si="4"/>
        <v>148052.44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1473174.32</v>
      </c>
      <c r="G247" s="41">
        <f t="shared" si="5"/>
        <v>685073.17</v>
      </c>
      <c r="H247" s="41">
        <f t="shared" si="5"/>
        <v>472509.32</v>
      </c>
      <c r="I247" s="41">
        <f t="shared" si="5"/>
        <v>233058.27000000002</v>
      </c>
      <c r="J247" s="41">
        <f t="shared" si="5"/>
        <v>48702.65</v>
      </c>
      <c r="K247" s="41">
        <f t="shared" si="5"/>
        <v>12891.26</v>
      </c>
      <c r="L247" s="41">
        <f t="shared" si="5"/>
        <v>2925408.9899999998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7000</v>
      </c>
      <c r="G250" s="18"/>
      <c r="H250" s="18"/>
      <c r="I250" s="18"/>
      <c r="J250" s="18"/>
      <c r="K250" s="18"/>
      <c r="L250" s="19">
        <f t="shared" ref="L250:L255" si="6">SUM(F250:K250)</f>
        <v>7000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7000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4509196.67</v>
      </c>
      <c r="G257" s="41">
        <f t="shared" si="8"/>
        <v>2119002.65</v>
      </c>
      <c r="H257" s="41">
        <f t="shared" si="8"/>
        <v>1560608.05</v>
      </c>
      <c r="I257" s="41">
        <f t="shared" si="8"/>
        <v>533524.98</v>
      </c>
      <c r="J257" s="41">
        <f t="shared" si="8"/>
        <v>205633.65</v>
      </c>
      <c r="K257" s="41">
        <f t="shared" si="8"/>
        <v>28657.86</v>
      </c>
      <c r="L257" s="41">
        <f t="shared" si="8"/>
        <v>8956623.8599999994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265000</v>
      </c>
      <c r="L260" s="19">
        <f>SUM(F260:K260)</f>
        <v>265000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90033.76</v>
      </c>
      <c r="L261" s="19">
        <f>SUM(F261:K261)</f>
        <v>90033.76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13592.72</v>
      </c>
      <c r="L263" s="19">
        <f>SUM(F263:K263)</f>
        <v>13592.72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518626.48</v>
      </c>
      <c r="L270" s="41">
        <f t="shared" si="9"/>
        <v>518626.48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4509196.67</v>
      </c>
      <c r="G271" s="42">
        <f t="shared" si="11"/>
        <v>2119002.65</v>
      </c>
      <c r="H271" s="42">
        <f t="shared" si="11"/>
        <v>1560608.05</v>
      </c>
      <c r="I271" s="42">
        <f t="shared" si="11"/>
        <v>533524.98</v>
      </c>
      <c r="J271" s="42">
        <f t="shared" si="11"/>
        <v>205633.65</v>
      </c>
      <c r="K271" s="42">
        <f t="shared" si="11"/>
        <v>547284.34</v>
      </c>
      <c r="L271" s="42">
        <f t="shared" si="11"/>
        <v>9475250.3399999999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108517.33</v>
      </c>
      <c r="G276" s="18">
        <v>43237.96</v>
      </c>
      <c r="H276" s="18">
        <v>1201.28</v>
      </c>
      <c r="I276" s="18">
        <v>16460.2</v>
      </c>
      <c r="J276" s="18">
        <v>1118.69</v>
      </c>
      <c r="K276" s="18">
        <v>551.48</v>
      </c>
      <c r="L276" s="19">
        <f>SUM(F276:K276)</f>
        <v>171086.94000000003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6693.62</v>
      </c>
      <c r="G277" s="18">
        <v>611.84</v>
      </c>
      <c r="H277" s="18"/>
      <c r="I277" s="18">
        <v>1240</v>
      </c>
      <c r="J277" s="18">
        <v>1138.1400000000001</v>
      </c>
      <c r="K277" s="18"/>
      <c r="L277" s="19">
        <f>SUM(F277:K277)</f>
        <v>9683.5999999999985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10072.33</v>
      </c>
      <c r="G279" s="18">
        <v>1901.64</v>
      </c>
      <c r="H279" s="18"/>
      <c r="I279" s="18"/>
      <c r="J279" s="18"/>
      <c r="K279" s="18"/>
      <c r="L279" s="19">
        <f>SUM(F279:K279)</f>
        <v>11973.97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38631.279999999999</v>
      </c>
      <c r="G281" s="18">
        <v>19756.009999999998</v>
      </c>
      <c r="H281" s="18"/>
      <c r="I281" s="18">
        <v>546.21</v>
      </c>
      <c r="J281" s="18"/>
      <c r="K281" s="18"/>
      <c r="L281" s="19">
        <f t="shared" ref="L281:L287" si="12">SUM(F281:K281)</f>
        <v>58933.499999999993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21194.54</v>
      </c>
      <c r="G282" s="18">
        <v>4599.51</v>
      </c>
      <c r="H282" s="18">
        <v>47328.12</v>
      </c>
      <c r="I282" s="18">
        <v>743.87</v>
      </c>
      <c r="J282" s="18">
        <v>1391.18</v>
      </c>
      <c r="K282" s="18"/>
      <c r="L282" s="19">
        <f t="shared" si="12"/>
        <v>75257.22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31000</v>
      </c>
      <c r="G284" s="18">
        <v>6761.6</v>
      </c>
      <c r="H284" s="18"/>
      <c r="I284" s="18"/>
      <c r="J284" s="18"/>
      <c r="K284" s="18"/>
      <c r="L284" s="19">
        <f t="shared" si="12"/>
        <v>37761.599999999999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2387.0500000000002</v>
      </c>
      <c r="I287" s="18"/>
      <c r="J287" s="18"/>
      <c r="K287" s="18"/>
      <c r="L287" s="19">
        <f t="shared" si="12"/>
        <v>2387.0500000000002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216109.1</v>
      </c>
      <c r="G290" s="42">
        <f t="shared" si="13"/>
        <v>76868.56</v>
      </c>
      <c r="H290" s="42">
        <f t="shared" si="13"/>
        <v>50916.450000000004</v>
      </c>
      <c r="I290" s="42">
        <f t="shared" si="13"/>
        <v>18990.28</v>
      </c>
      <c r="J290" s="42">
        <f t="shared" si="13"/>
        <v>3648.01</v>
      </c>
      <c r="K290" s="42">
        <f t="shared" si="13"/>
        <v>551.48</v>
      </c>
      <c r="L290" s="41">
        <f t="shared" si="13"/>
        <v>367083.88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23536.99</v>
      </c>
      <c r="G296" s="18">
        <v>4531.82</v>
      </c>
      <c r="H296" s="18"/>
      <c r="I296" s="18"/>
      <c r="J296" s="18"/>
      <c r="K296" s="18"/>
      <c r="L296" s="19">
        <f>SUM(F296:K296)</f>
        <v>28068.81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23445.01</v>
      </c>
      <c r="G300" s="18">
        <v>15655.05</v>
      </c>
      <c r="H300" s="18"/>
      <c r="I300" s="18"/>
      <c r="J300" s="18"/>
      <c r="K300" s="18"/>
      <c r="L300" s="19">
        <f t="shared" ref="L300:L306" si="14">SUM(F300:K300)</f>
        <v>39100.06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1548.31</v>
      </c>
      <c r="G301" s="18">
        <v>328.7</v>
      </c>
      <c r="H301" s="18">
        <v>5821.6</v>
      </c>
      <c r="I301" s="18">
        <v>165.65</v>
      </c>
      <c r="J301" s="18">
        <v>6991.29</v>
      </c>
      <c r="K301" s="18"/>
      <c r="L301" s="19">
        <f t="shared" si="14"/>
        <v>14855.55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48530.31</v>
      </c>
      <c r="G309" s="42">
        <f t="shared" si="15"/>
        <v>20515.57</v>
      </c>
      <c r="H309" s="42">
        <f t="shared" si="15"/>
        <v>5821.6</v>
      </c>
      <c r="I309" s="42">
        <f t="shared" si="15"/>
        <v>165.65</v>
      </c>
      <c r="J309" s="42">
        <f t="shared" si="15"/>
        <v>6991.29</v>
      </c>
      <c r="K309" s="42">
        <f t="shared" si="15"/>
        <v>0</v>
      </c>
      <c r="L309" s="41">
        <f t="shared" si="15"/>
        <v>82024.42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84455.5</v>
      </c>
      <c r="G314" s="18">
        <v>28069.24</v>
      </c>
      <c r="H314" s="18">
        <v>4305.3999999999996</v>
      </c>
      <c r="I314" s="18">
        <v>3315.56</v>
      </c>
      <c r="J314" s="18"/>
      <c r="K314" s="18"/>
      <c r="L314" s="19">
        <f>SUM(F314:K314)</f>
        <v>120145.7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6404.23</v>
      </c>
      <c r="G315" s="18">
        <v>567.03</v>
      </c>
      <c r="H315" s="18"/>
      <c r="I315" s="18">
        <v>654.5</v>
      </c>
      <c r="J315" s="18"/>
      <c r="K315" s="18"/>
      <c r="L315" s="19">
        <f>SUM(F315:K315)</f>
        <v>7625.7599999999993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12822.33</v>
      </c>
      <c r="G319" s="18">
        <v>6403.21</v>
      </c>
      <c r="H319" s="18"/>
      <c r="I319" s="18"/>
      <c r="J319" s="18"/>
      <c r="K319" s="18"/>
      <c r="L319" s="19">
        <f t="shared" ref="L319:L325" si="16">SUM(F319:K319)</f>
        <v>19225.54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109726.55</v>
      </c>
      <c r="G320" s="18">
        <v>44455.3</v>
      </c>
      <c r="H320" s="18">
        <v>453271.76</v>
      </c>
      <c r="I320" s="18">
        <v>33553.730000000003</v>
      </c>
      <c r="J320" s="18">
        <v>26313.06</v>
      </c>
      <c r="K320" s="18"/>
      <c r="L320" s="19">
        <f t="shared" si="16"/>
        <v>667320.4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24703.5</v>
      </c>
      <c r="G321" s="18">
        <v>2186.37</v>
      </c>
      <c r="H321" s="18"/>
      <c r="I321" s="18"/>
      <c r="J321" s="18"/>
      <c r="K321" s="18"/>
      <c r="L321" s="19">
        <f t="shared" si="16"/>
        <v>26889.87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88985.97</v>
      </c>
      <c r="G322" s="18">
        <v>13428.46</v>
      </c>
      <c r="H322" s="18"/>
      <c r="I322" s="18"/>
      <c r="J322" s="18"/>
      <c r="K322" s="18"/>
      <c r="L322" s="19">
        <f t="shared" si="16"/>
        <v>102414.43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19783.3</v>
      </c>
      <c r="K324" s="18"/>
      <c r="L324" s="19">
        <f t="shared" si="16"/>
        <v>19783.3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12951.37</v>
      </c>
      <c r="I325" s="18"/>
      <c r="J325" s="18"/>
      <c r="K325" s="18"/>
      <c r="L325" s="19">
        <f t="shared" si="16"/>
        <v>12951.37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327098.07999999996</v>
      </c>
      <c r="G328" s="42">
        <f t="shared" si="17"/>
        <v>95109.609999999986</v>
      </c>
      <c r="H328" s="42">
        <f t="shared" si="17"/>
        <v>470528.53</v>
      </c>
      <c r="I328" s="42">
        <f t="shared" si="17"/>
        <v>37523.79</v>
      </c>
      <c r="J328" s="42">
        <f t="shared" si="17"/>
        <v>46096.36</v>
      </c>
      <c r="K328" s="42">
        <f t="shared" si="17"/>
        <v>0</v>
      </c>
      <c r="L328" s="41">
        <f t="shared" si="17"/>
        <v>976356.37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37500</v>
      </c>
      <c r="I335" s="18"/>
      <c r="J335" s="18"/>
      <c r="K335" s="18"/>
      <c r="L335" s="19">
        <f t="shared" si="18"/>
        <v>37500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37500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37500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591737.49</v>
      </c>
      <c r="G338" s="41">
        <f t="shared" si="20"/>
        <v>192493.74</v>
      </c>
      <c r="H338" s="41">
        <f t="shared" si="20"/>
        <v>564766.58000000007</v>
      </c>
      <c r="I338" s="41">
        <f t="shared" si="20"/>
        <v>56679.72</v>
      </c>
      <c r="J338" s="41">
        <f t="shared" si="20"/>
        <v>56735.66</v>
      </c>
      <c r="K338" s="41">
        <f t="shared" si="20"/>
        <v>551.48</v>
      </c>
      <c r="L338" s="41">
        <f t="shared" si="20"/>
        <v>1462964.67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8671.2900000000009</v>
      </c>
      <c r="L344" s="19">
        <f t="shared" ref="L344:L350" si="21">SUM(F344:K344)</f>
        <v>8671.2900000000009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8671.2900000000009</v>
      </c>
      <c r="L351" s="41">
        <f>SUM(L341:L350)</f>
        <v>8671.2900000000009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591737.49</v>
      </c>
      <c r="G352" s="41">
        <f>G338</f>
        <v>192493.74</v>
      </c>
      <c r="H352" s="41">
        <f>H338</f>
        <v>564766.58000000007</v>
      </c>
      <c r="I352" s="41">
        <f>I338</f>
        <v>56679.72</v>
      </c>
      <c r="J352" s="41">
        <f>J338</f>
        <v>56735.66</v>
      </c>
      <c r="K352" s="47">
        <f>K338+K351</f>
        <v>9222.77</v>
      </c>
      <c r="L352" s="41">
        <f>L338+L351</f>
        <v>1471635.96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132295.79999999999</v>
      </c>
      <c r="I358" s="18">
        <v>7639.04</v>
      </c>
      <c r="J358" s="18">
        <v>1391</v>
      </c>
      <c r="K358" s="18"/>
      <c r="L358" s="13">
        <f>SUM(F358:K358)</f>
        <v>141325.84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52916.58</v>
      </c>
      <c r="I359" s="18">
        <v>2494.38</v>
      </c>
      <c r="J359" s="18"/>
      <c r="K359" s="18"/>
      <c r="L359" s="19">
        <f>SUM(F359:K359)</f>
        <v>55410.96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108768.62</v>
      </c>
      <c r="I360" s="18">
        <v>5456.47</v>
      </c>
      <c r="J360" s="18"/>
      <c r="K360" s="18"/>
      <c r="L360" s="19">
        <f>SUM(F360:K360)</f>
        <v>114225.09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293981</v>
      </c>
      <c r="I362" s="47">
        <f t="shared" si="22"/>
        <v>15589.89</v>
      </c>
      <c r="J362" s="47">
        <f t="shared" si="22"/>
        <v>1391</v>
      </c>
      <c r="K362" s="47">
        <f t="shared" si="22"/>
        <v>0</v>
      </c>
      <c r="L362" s="47">
        <f t="shared" si="22"/>
        <v>310961.89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8224.41</v>
      </c>
      <c r="G367" s="18">
        <v>2638.01</v>
      </c>
      <c r="H367" s="18">
        <v>4655.34</v>
      </c>
      <c r="I367" s="56">
        <f>SUM(F367:H367)</f>
        <v>15517.76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36.06</v>
      </c>
      <c r="G368" s="63">
        <v>12.62</v>
      </c>
      <c r="H368" s="63">
        <v>23.45</v>
      </c>
      <c r="I368" s="56">
        <f>SUM(F368:H368)</f>
        <v>72.13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8260.4699999999993</v>
      </c>
      <c r="G369" s="47">
        <f>SUM(G367:G368)</f>
        <v>2650.63</v>
      </c>
      <c r="H369" s="47">
        <f>SUM(H367:H368)</f>
        <v>4678.79</v>
      </c>
      <c r="I369" s="47">
        <f>SUM(I367:I368)</f>
        <v>15589.89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0.22</v>
      </c>
      <c r="I391" s="18"/>
      <c r="J391" s="24" t="s">
        <v>289</v>
      </c>
      <c r="K391" s="24" t="s">
        <v>289</v>
      </c>
      <c r="L391" s="56">
        <f t="shared" si="25"/>
        <v>0.22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0.22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0.22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v>17.329999999999998</v>
      </c>
      <c r="I396" s="18"/>
      <c r="J396" s="24" t="s">
        <v>289</v>
      </c>
      <c r="K396" s="24" t="s">
        <v>289</v>
      </c>
      <c r="L396" s="56">
        <f t="shared" si="26"/>
        <v>100017.33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21.75</v>
      </c>
      <c r="I397" s="18"/>
      <c r="J397" s="24" t="s">
        <v>289</v>
      </c>
      <c r="K397" s="24" t="s">
        <v>289</v>
      </c>
      <c r="L397" s="56">
        <f t="shared" si="26"/>
        <v>50021.75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v>7444.76</v>
      </c>
      <c r="J400" s="24" t="s">
        <v>289</v>
      </c>
      <c r="K400" s="24" t="s">
        <v>289</v>
      </c>
      <c r="L400" s="56">
        <f t="shared" si="26"/>
        <v>7444.76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39.08</v>
      </c>
      <c r="I401" s="47">
        <f>SUM(I395:I400)</f>
        <v>7444.76</v>
      </c>
      <c r="J401" s="45" t="s">
        <v>289</v>
      </c>
      <c r="K401" s="45" t="s">
        <v>289</v>
      </c>
      <c r="L401" s="47">
        <f>SUM(L395:L400)</f>
        <v>157483.84000000003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913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3836.88</v>
      </c>
      <c r="I403" s="18">
        <v>14548.63</v>
      </c>
      <c r="J403" s="24" t="s">
        <v>289</v>
      </c>
      <c r="K403" s="24" t="s">
        <v>289</v>
      </c>
      <c r="L403" s="56">
        <f>SUM(F403:K403)</f>
        <v>18385.509999999998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3836.88</v>
      </c>
      <c r="I407" s="47">
        <f>SUM(I403:I406)</f>
        <v>14548.63</v>
      </c>
      <c r="J407" s="49" t="s">
        <v>289</v>
      </c>
      <c r="K407" s="49" t="s">
        <v>289</v>
      </c>
      <c r="L407" s="47">
        <f>SUM(L403:L406)</f>
        <v>18385.509999999998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3876.1800000000003</v>
      </c>
      <c r="I408" s="47">
        <f>I393+I401+I407</f>
        <v>21993.39</v>
      </c>
      <c r="J408" s="24" t="s">
        <v>289</v>
      </c>
      <c r="K408" s="24" t="s">
        <v>289</v>
      </c>
      <c r="L408" s="47">
        <f>L393+L401+L407</f>
        <v>175869.57000000004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7444.76</v>
      </c>
      <c r="L426" s="56">
        <f t="shared" si="29"/>
        <v>7444.76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7444.76</v>
      </c>
      <c r="L427" s="47">
        <f t="shared" si="30"/>
        <v>7444.76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914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>
        <v>3510</v>
      </c>
      <c r="J429" s="18"/>
      <c r="K429" s="18"/>
      <c r="L429" s="56">
        <f>SUM(F429:K429)</f>
        <v>3510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3510</v>
      </c>
      <c r="J433" s="47">
        <f t="shared" si="31"/>
        <v>0</v>
      </c>
      <c r="K433" s="47">
        <f t="shared" si="31"/>
        <v>0</v>
      </c>
      <c r="L433" s="47">
        <f t="shared" si="31"/>
        <v>3510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3510</v>
      </c>
      <c r="J434" s="47">
        <f t="shared" si="32"/>
        <v>0</v>
      </c>
      <c r="K434" s="47">
        <f t="shared" si="32"/>
        <v>7444.76</v>
      </c>
      <c r="L434" s="47">
        <f t="shared" si="32"/>
        <v>10954.76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210123.51999999999</v>
      </c>
      <c r="I440" s="56">
        <f t="shared" si="33"/>
        <v>210123.51999999999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16634.849999999999</v>
      </c>
      <c r="G442" s="18">
        <v>437378.82</v>
      </c>
      <c r="H442" s="18"/>
      <c r="I442" s="56">
        <f t="shared" si="33"/>
        <v>454013.67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16634.849999999999</v>
      </c>
      <c r="G446" s="13">
        <f>SUM(G439:G445)</f>
        <v>437378.82</v>
      </c>
      <c r="H446" s="13">
        <f>SUM(H439:H445)</f>
        <v>210123.51999999999</v>
      </c>
      <c r="I446" s="13">
        <f>SUM(I439:I445)</f>
        <v>664137.18999999994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210123.51999999999</v>
      </c>
      <c r="I457" s="56">
        <f t="shared" si="34"/>
        <v>210123.51999999999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16634.849999999999</v>
      </c>
      <c r="G459" s="18">
        <v>437378.82</v>
      </c>
      <c r="H459" s="18"/>
      <c r="I459" s="56">
        <f t="shared" si="34"/>
        <v>454013.67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16634.849999999999</v>
      </c>
      <c r="G460" s="83">
        <f>SUM(G454:G459)</f>
        <v>437378.82</v>
      </c>
      <c r="H460" s="83">
        <f>SUM(H454:H459)</f>
        <v>210123.51999999999</v>
      </c>
      <c r="I460" s="83">
        <f>SUM(I454:I459)</f>
        <v>664137.18999999994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16634.849999999999</v>
      </c>
      <c r="G461" s="42">
        <f>G452+G460</f>
        <v>437378.82</v>
      </c>
      <c r="H461" s="42">
        <f>H452+H460</f>
        <v>210123.51999999999</v>
      </c>
      <c r="I461" s="42">
        <f>I452+I460</f>
        <v>664137.18999999994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558778.07999999996</v>
      </c>
      <c r="G465" s="18">
        <v>-4244.42</v>
      </c>
      <c r="H465" s="18">
        <v>0</v>
      </c>
      <c r="I465" s="18"/>
      <c r="J465" s="18">
        <v>509222.38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9207778.8899999987</v>
      </c>
      <c r="G468" s="18">
        <f>G193</f>
        <v>315206.30999999994</v>
      </c>
      <c r="H468" s="18">
        <f>H193</f>
        <v>1471635.96</v>
      </c>
      <c r="I468" s="18"/>
      <c r="J468" s="18">
        <f>J193</f>
        <v>175869.57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9207778.8899999987</v>
      </c>
      <c r="G470" s="53">
        <f>SUM(G468:G469)</f>
        <v>315206.30999999994</v>
      </c>
      <c r="H470" s="53">
        <f>SUM(H468:H469)</f>
        <v>1471635.96</v>
      </c>
      <c r="I470" s="53">
        <f>SUM(I468:I469)</f>
        <v>0</v>
      </c>
      <c r="J470" s="53">
        <f>SUM(J468:J469)</f>
        <v>175869.57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9475250.3399999999</v>
      </c>
      <c r="G472" s="18">
        <f>L362</f>
        <v>310961.89</v>
      </c>
      <c r="H472" s="18">
        <f>L352</f>
        <v>1471635.96</v>
      </c>
      <c r="I472" s="18"/>
      <c r="J472" s="18">
        <f>L434</f>
        <v>10954.76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10000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9475250.3399999999</v>
      </c>
      <c r="G474" s="53">
        <f>SUM(G472:G473)</f>
        <v>310961.89</v>
      </c>
      <c r="H474" s="53">
        <f>SUM(H472:H473)</f>
        <v>1471635.96</v>
      </c>
      <c r="I474" s="53">
        <f>SUM(I472:I473)</f>
        <v>0</v>
      </c>
      <c r="J474" s="53">
        <f>SUM(J472:J473)</f>
        <v>20954.760000000002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291306.62999999896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664137.18999999994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5300000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5.58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1590000</v>
      </c>
      <c r="G495" s="18"/>
      <c r="H495" s="18"/>
      <c r="I495" s="18"/>
      <c r="J495" s="18"/>
      <c r="K495" s="53">
        <f>SUM(F495:J495)</f>
        <v>1590000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265000</v>
      </c>
      <c r="G497" s="18"/>
      <c r="H497" s="18"/>
      <c r="I497" s="18"/>
      <c r="J497" s="18"/>
      <c r="K497" s="53">
        <f t="shared" si="35"/>
        <v>265000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1325000</v>
      </c>
      <c r="G498" s="204"/>
      <c r="H498" s="204"/>
      <c r="I498" s="204"/>
      <c r="J498" s="204"/>
      <c r="K498" s="205">
        <f t="shared" si="35"/>
        <v>1325000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226575.02</v>
      </c>
      <c r="G499" s="18"/>
      <c r="H499" s="18"/>
      <c r="I499" s="18"/>
      <c r="J499" s="18"/>
      <c r="K499" s="53">
        <f t="shared" si="35"/>
        <v>226575.02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1551575.02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1551575.02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265000</v>
      </c>
      <c r="G501" s="204"/>
      <c r="H501" s="204"/>
      <c r="I501" s="204"/>
      <c r="J501" s="204"/>
      <c r="K501" s="205">
        <f t="shared" si="35"/>
        <v>265000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75193.759999999995</v>
      </c>
      <c r="G502" s="18"/>
      <c r="H502" s="18"/>
      <c r="I502" s="18"/>
      <c r="J502" s="18"/>
      <c r="K502" s="53">
        <f t="shared" si="35"/>
        <v>75193.759999999995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340193.76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340193.76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536603.43999999994</v>
      </c>
      <c r="G521" s="18">
        <v>210263.21</v>
      </c>
      <c r="H521" s="18">
        <v>148098.73000000001</v>
      </c>
      <c r="I521" s="18">
        <v>2897.84</v>
      </c>
      <c r="J521" s="18"/>
      <c r="K521" s="18">
        <v>828</v>
      </c>
      <c r="L521" s="88">
        <f>SUM(F521:K521)</f>
        <v>898691.21999999986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332563.78000000003</v>
      </c>
      <c r="G522" s="18">
        <v>99046.01</v>
      </c>
      <c r="H522" s="18">
        <v>142220.6</v>
      </c>
      <c r="I522" s="18">
        <v>1440.18</v>
      </c>
      <c r="J522" s="18"/>
      <c r="K522" s="18">
        <v>82.4</v>
      </c>
      <c r="L522" s="88">
        <f>SUM(F522:K522)</f>
        <v>575352.97000000009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262543.90000000002</v>
      </c>
      <c r="G523" s="18">
        <v>109768.35</v>
      </c>
      <c r="H523" s="18">
        <v>57851.27</v>
      </c>
      <c r="I523" s="18">
        <v>2907.76</v>
      </c>
      <c r="J523" s="18"/>
      <c r="K523" s="18">
        <v>114.6</v>
      </c>
      <c r="L523" s="88">
        <f>SUM(F523:K523)</f>
        <v>433185.88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1131711.1200000001</v>
      </c>
      <c r="G524" s="108">
        <f t="shared" ref="G524:L524" si="36">SUM(G521:G523)</f>
        <v>419077.56999999995</v>
      </c>
      <c r="H524" s="108">
        <f t="shared" si="36"/>
        <v>348170.60000000003</v>
      </c>
      <c r="I524" s="108">
        <f t="shared" si="36"/>
        <v>7245.7800000000007</v>
      </c>
      <c r="J524" s="108">
        <f t="shared" si="36"/>
        <v>0</v>
      </c>
      <c r="K524" s="108">
        <f t="shared" si="36"/>
        <v>1025</v>
      </c>
      <c r="L524" s="89">
        <f t="shared" si="36"/>
        <v>1907230.0699999998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167224.04</v>
      </c>
      <c r="G526" s="18">
        <v>73868.06</v>
      </c>
      <c r="H526" s="18">
        <v>25311.87</v>
      </c>
      <c r="I526" s="18">
        <v>2096.21</v>
      </c>
      <c r="J526" s="18"/>
      <c r="K526" s="18"/>
      <c r="L526" s="88">
        <f>SUM(F526:K526)</f>
        <v>268500.18000000005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18243.21</v>
      </c>
      <c r="G527" s="18">
        <v>8177.9</v>
      </c>
      <c r="H527" s="18">
        <v>41580.089999999997</v>
      </c>
      <c r="I527" s="18">
        <v>864.2</v>
      </c>
      <c r="J527" s="18"/>
      <c r="K527" s="18"/>
      <c r="L527" s="88">
        <f>SUM(F527:K527)</f>
        <v>68865.399999999994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20149.599999999999</v>
      </c>
      <c r="G528" s="18">
        <v>9028.9599999999991</v>
      </c>
      <c r="H528" s="18">
        <v>695</v>
      </c>
      <c r="I528" s="18">
        <v>714.2</v>
      </c>
      <c r="J528" s="18"/>
      <c r="K528" s="18"/>
      <c r="L528" s="88">
        <f>SUM(F528:K528)</f>
        <v>30587.759999999998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205616.85</v>
      </c>
      <c r="G529" s="89">
        <f t="shared" ref="G529:L529" si="37">SUM(G526:G528)</f>
        <v>91074.919999999984</v>
      </c>
      <c r="H529" s="89">
        <f t="shared" si="37"/>
        <v>67586.959999999992</v>
      </c>
      <c r="I529" s="89">
        <f t="shared" si="37"/>
        <v>3674.6099999999997</v>
      </c>
      <c r="J529" s="89">
        <f t="shared" si="37"/>
        <v>0</v>
      </c>
      <c r="K529" s="89">
        <f t="shared" si="37"/>
        <v>0</v>
      </c>
      <c r="L529" s="89">
        <f t="shared" si="37"/>
        <v>367953.34000000008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35250</v>
      </c>
      <c r="G531" s="18">
        <v>14792.5</v>
      </c>
      <c r="H531" s="18"/>
      <c r="I531" s="18"/>
      <c r="J531" s="18"/>
      <c r="K531" s="18"/>
      <c r="L531" s="88">
        <f>SUM(F531:K531)</f>
        <v>50042.5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12337.5</v>
      </c>
      <c r="G532" s="18">
        <v>5177.37</v>
      </c>
      <c r="H532" s="18"/>
      <c r="I532" s="18"/>
      <c r="J532" s="18"/>
      <c r="K532" s="18"/>
      <c r="L532" s="88">
        <f>SUM(F532:K532)</f>
        <v>17514.87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22912.5</v>
      </c>
      <c r="G533" s="18">
        <v>9615.1200000000008</v>
      </c>
      <c r="H533" s="18"/>
      <c r="I533" s="18"/>
      <c r="J533" s="18"/>
      <c r="K533" s="18"/>
      <c r="L533" s="88">
        <f>SUM(F533:K533)</f>
        <v>32527.620000000003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70500</v>
      </c>
      <c r="G534" s="89">
        <f t="shared" ref="G534:L534" si="38">SUM(G531:G533)</f>
        <v>29584.989999999998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100084.98999999999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210</v>
      </c>
      <c r="I536" s="18"/>
      <c r="J536" s="18"/>
      <c r="K536" s="18"/>
      <c r="L536" s="88">
        <f>SUM(F536:K536)</f>
        <v>210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210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210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142310.1</v>
      </c>
      <c r="I541" s="18"/>
      <c r="J541" s="18"/>
      <c r="K541" s="18"/>
      <c r="L541" s="88">
        <f>SUM(F541:K541)</f>
        <v>142310.1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82990</v>
      </c>
      <c r="I542" s="18"/>
      <c r="J542" s="18"/>
      <c r="K542" s="18"/>
      <c r="L542" s="88">
        <f>SUM(F542:K542)</f>
        <v>82990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32121</v>
      </c>
      <c r="I543" s="18"/>
      <c r="J543" s="18"/>
      <c r="K543" s="18"/>
      <c r="L543" s="88">
        <f>SUM(F543:K543)</f>
        <v>32121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257421.1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257421.1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1407827.9700000002</v>
      </c>
      <c r="G545" s="89">
        <f t="shared" ref="G545:L545" si="41">G524+G529+G534+G539+G544</f>
        <v>539737.48</v>
      </c>
      <c r="H545" s="89">
        <f t="shared" si="41"/>
        <v>673388.66</v>
      </c>
      <c r="I545" s="89">
        <f t="shared" si="41"/>
        <v>10920.39</v>
      </c>
      <c r="J545" s="89">
        <f t="shared" si="41"/>
        <v>0</v>
      </c>
      <c r="K545" s="89">
        <f t="shared" si="41"/>
        <v>1025</v>
      </c>
      <c r="L545" s="89">
        <f t="shared" si="41"/>
        <v>2632899.5000000005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898691.21999999986</v>
      </c>
      <c r="G549" s="87">
        <f>L526</f>
        <v>268500.18000000005</v>
      </c>
      <c r="H549" s="87">
        <f>L531</f>
        <v>50042.5</v>
      </c>
      <c r="I549" s="87">
        <f>L536</f>
        <v>210</v>
      </c>
      <c r="J549" s="87">
        <f>L541</f>
        <v>142310.1</v>
      </c>
      <c r="K549" s="87">
        <f>SUM(F549:J549)</f>
        <v>1359754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575352.97000000009</v>
      </c>
      <c r="G550" s="87">
        <f>L527</f>
        <v>68865.399999999994</v>
      </c>
      <c r="H550" s="87">
        <f>L532</f>
        <v>17514.87</v>
      </c>
      <c r="I550" s="87">
        <f>L537</f>
        <v>0</v>
      </c>
      <c r="J550" s="87">
        <f>L542</f>
        <v>82990</v>
      </c>
      <c r="K550" s="87">
        <f>SUM(F550:J550)</f>
        <v>744723.24000000011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433185.88</v>
      </c>
      <c r="G551" s="87">
        <f>L528</f>
        <v>30587.759999999998</v>
      </c>
      <c r="H551" s="87">
        <f>L533</f>
        <v>32527.620000000003</v>
      </c>
      <c r="I551" s="87">
        <f>L538</f>
        <v>0</v>
      </c>
      <c r="J551" s="87">
        <f>L543</f>
        <v>32121</v>
      </c>
      <c r="K551" s="87">
        <f>SUM(F551:J551)</f>
        <v>528422.26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1907230.0699999998</v>
      </c>
      <c r="G552" s="89">
        <f t="shared" si="42"/>
        <v>367953.34000000008</v>
      </c>
      <c r="H552" s="89">
        <f t="shared" si="42"/>
        <v>100084.98999999999</v>
      </c>
      <c r="I552" s="89">
        <f t="shared" si="42"/>
        <v>210</v>
      </c>
      <c r="J552" s="89">
        <f t="shared" si="42"/>
        <v>257421.1</v>
      </c>
      <c r="K552" s="89">
        <f t="shared" si="42"/>
        <v>2632899.5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7481.65</v>
      </c>
      <c r="G562" s="18">
        <v>572.36</v>
      </c>
      <c r="H562" s="18"/>
      <c r="I562" s="18"/>
      <c r="J562" s="18"/>
      <c r="K562" s="18"/>
      <c r="L562" s="88">
        <f>SUM(F562:K562)</f>
        <v>8054.0099999999993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7481.65</v>
      </c>
      <c r="G565" s="89">
        <f t="shared" si="44"/>
        <v>572.36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8054.0099999999993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7481.65</v>
      </c>
      <c r="G571" s="89">
        <f t="shared" ref="G571:L571" si="46">G560+G565+G570</f>
        <v>572.36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8054.0099999999993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490</v>
      </c>
      <c r="I578" s="87">
        <f t="shared" si="47"/>
        <v>490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114481.97</v>
      </c>
      <c r="G582" s="18">
        <v>99574.92</v>
      </c>
      <c r="H582" s="18">
        <v>53078.42</v>
      </c>
      <c r="I582" s="87">
        <f t="shared" si="47"/>
        <v>267135.31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28291.919999999998</v>
      </c>
      <c r="I584" s="87">
        <f t="shared" si="47"/>
        <v>28291.919999999998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127504.92</v>
      </c>
      <c r="I591" s="18">
        <v>37696.33</v>
      </c>
      <c r="J591" s="18">
        <v>65032.959999999999</v>
      </c>
      <c r="K591" s="104">
        <f t="shared" ref="K591:K597" si="48">SUM(H591:J591)</f>
        <v>230234.21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142310.1</v>
      </c>
      <c r="I592" s="18">
        <v>82990</v>
      </c>
      <c r="J592" s="18">
        <v>32121</v>
      </c>
      <c r="K592" s="104">
        <f t="shared" si="48"/>
        <v>257421.1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28800</v>
      </c>
      <c r="K593" s="104">
        <f t="shared" si="48"/>
        <v>28800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2060.4</v>
      </c>
      <c r="J594" s="18">
        <v>19698</v>
      </c>
      <c r="K594" s="104">
        <f t="shared" si="48"/>
        <v>21758.400000000001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209.67</v>
      </c>
      <c r="J595" s="18">
        <v>2334.08</v>
      </c>
      <c r="K595" s="104">
        <f t="shared" si="48"/>
        <v>2543.75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66.400000000000006</v>
      </c>
      <c r="K597" s="104">
        <f t="shared" si="48"/>
        <v>66.400000000000006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269815.02</v>
      </c>
      <c r="I598" s="108">
        <f>SUM(I591:I597)</f>
        <v>122956.4</v>
      </c>
      <c r="J598" s="108">
        <f>SUM(J591:J597)</f>
        <v>148052.43999999997</v>
      </c>
      <c r="K598" s="108">
        <f>SUM(K591:K597)</f>
        <v>540823.86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136517.15</v>
      </c>
      <c r="I604" s="18">
        <v>31053.15</v>
      </c>
      <c r="J604" s="18">
        <v>94799.01</v>
      </c>
      <c r="K604" s="104">
        <f>SUM(H604:J604)</f>
        <v>262369.31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136517.15</v>
      </c>
      <c r="I605" s="108">
        <f>SUM(I602:I604)</f>
        <v>31053.15</v>
      </c>
      <c r="J605" s="108">
        <f>SUM(J602:J604)</f>
        <v>94799.01</v>
      </c>
      <c r="K605" s="108">
        <f>SUM(K602:K604)</f>
        <v>262369.31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1327094.33</v>
      </c>
      <c r="H617" s="109">
        <f>SUM(F52)</f>
        <v>1327094.33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33473.32</v>
      </c>
      <c r="H618" s="109">
        <f>SUM(G52)</f>
        <v>33473.32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293074.59000000003</v>
      </c>
      <c r="H619" s="109">
        <f>SUM(H52)</f>
        <v>293074.58999999997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664137.18999999994</v>
      </c>
      <c r="H621" s="109">
        <f>SUM(J52)</f>
        <v>664137.18999999994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291306.63</v>
      </c>
      <c r="H622" s="109">
        <f>F476</f>
        <v>291306.62999999896</v>
      </c>
      <c r="I622" s="121" t="s">
        <v>101</v>
      </c>
      <c r="J622" s="109">
        <f t="shared" ref="J622:J655" si="50">G622-H622</f>
        <v>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664137.18999999994</v>
      </c>
      <c r="H626" s="109">
        <f>J476</f>
        <v>664137.18999999994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9207778.8899999987</v>
      </c>
      <c r="H627" s="104">
        <f>SUM(F468)</f>
        <v>9207778.8899999987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315206.30999999994</v>
      </c>
      <c r="H628" s="104">
        <f>SUM(G468)</f>
        <v>315206.30999999994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1471635.96</v>
      </c>
      <c r="H629" s="104">
        <f>SUM(H468)</f>
        <v>1471635.96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175869.57</v>
      </c>
      <c r="H631" s="104">
        <f>SUM(J468)</f>
        <v>175869.57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9475250.3399999999</v>
      </c>
      <c r="H632" s="104">
        <f>SUM(F472)</f>
        <v>9475250.3399999999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1471635.96</v>
      </c>
      <c r="H633" s="104">
        <f>SUM(H472)</f>
        <v>1471635.96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15589.89</v>
      </c>
      <c r="H634" s="104">
        <f>I369</f>
        <v>15589.89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310961.89</v>
      </c>
      <c r="H635" s="104">
        <f>SUM(G472)</f>
        <v>310961.89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175869.57000000004</v>
      </c>
      <c r="H637" s="164">
        <f>SUM(J468)</f>
        <v>175869.57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10954.76</v>
      </c>
      <c r="H638" s="164">
        <f>SUM(J472)</f>
        <v>10954.76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16634.849999999999</v>
      </c>
      <c r="H639" s="104">
        <f>SUM(F461)</f>
        <v>16634.849999999999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437378.82</v>
      </c>
      <c r="H640" s="104">
        <f>SUM(G461)</f>
        <v>437378.82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210123.51999999999</v>
      </c>
      <c r="H641" s="104">
        <f>SUM(H461)</f>
        <v>210123.51999999999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664137.18999999994</v>
      </c>
      <c r="H642" s="104">
        <f>SUM(I461)</f>
        <v>664137.18999999994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3876.18</v>
      </c>
      <c r="H644" s="104">
        <f>H408</f>
        <v>3876.1800000000003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150000</v>
      </c>
      <c r="H645" s="104">
        <f>G408</f>
        <v>150000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175869.57</v>
      </c>
      <c r="H646" s="104">
        <f>L408</f>
        <v>175869.57000000004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540823.86</v>
      </c>
      <c r="H647" s="104">
        <f>L208+L226+L244</f>
        <v>540823.8600000001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262369.31</v>
      </c>
      <c r="H648" s="104">
        <f>(J257+J338)-(J255+J336)</f>
        <v>262369.31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269815.02</v>
      </c>
      <c r="H649" s="104">
        <f>H598</f>
        <v>269815.02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122956.4</v>
      </c>
      <c r="H650" s="104">
        <f>I598</f>
        <v>122956.4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148052.44</v>
      </c>
      <c r="H651" s="104">
        <f>J598</f>
        <v>148052.43999999997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13592.72</v>
      </c>
      <c r="H652" s="104">
        <f>K263+K345</f>
        <v>13592.72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150000</v>
      </c>
      <c r="H655" s="104">
        <f>K266+K347</f>
        <v>150000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4773717.7799999993</v>
      </c>
      <c r="G660" s="19">
        <f>(L229+L309+L359)</f>
        <v>1896342.19</v>
      </c>
      <c r="H660" s="19">
        <f>(L247+L328+L360)</f>
        <v>4015990.4499999997</v>
      </c>
      <c r="I660" s="19">
        <f>SUM(F660:H660)</f>
        <v>10686050.419999998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41346.414760000327</v>
      </c>
      <c r="G661" s="19">
        <f>(L359/IF(SUM(L358:L360)=0,1,SUM(L358:L360))*(SUM(G97:G110)))</f>
        <v>16211.080255456383</v>
      </c>
      <c r="H661" s="19">
        <f>(L360/IF(SUM(L358:L360)=0,1,SUM(L358:L360))*(SUM(G97:G110)))</f>
        <v>33417.794984543281</v>
      </c>
      <c r="I661" s="19">
        <f>SUM(F661:H661)</f>
        <v>90975.29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272202.07</v>
      </c>
      <c r="G662" s="19">
        <f>(L226+L306)-(J226+J306)</f>
        <v>122956.4</v>
      </c>
      <c r="H662" s="19">
        <f>(L244+L325)-(J244+J325)</f>
        <v>161003.81</v>
      </c>
      <c r="I662" s="19">
        <f>SUM(F662:H662)</f>
        <v>556162.28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250999.12</v>
      </c>
      <c r="G663" s="199">
        <f>SUM(G575:G587)+SUM(I602:I604)+L612</f>
        <v>130628.07</v>
      </c>
      <c r="H663" s="199">
        <f>SUM(H575:H587)+SUM(J602:J604)+L613</f>
        <v>176659.34999999998</v>
      </c>
      <c r="I663" s="19">
        <f>SUM(F663:H663)</f>
        <v>558286.54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4209170.1752399988</v>
      </c>
      <c r="G664" s="19">
        <f>G660-SUM(G661:G663)</f>
        <v>1626546.6397445435</v>
      </c>
      <c r="H664" s="19">
        <f>H660-SUM(H661:H663)</f>
        <v>3644909.4950154563</v>
      </c>
      <c r="I664" s="19">
        <f>I660-SUM(I661:I663)</f>
        <v>9480626.3099999987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297.8</v>
      </c>
      <c r="G665" s="248">
        <v>94.43</v>
      </c>
      <c r="H665" s="248">
        <v>166.96</v>
      </c>
      <c r="I665" s="19">
        <f>SUM(F665:H665)</f>
        <v>559.19000000000005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14134.22</v>
      </c>
      <c r="G667" s="19">
        <f>ROUND(G664/G665,2)</f>
        <v>17224.89</v>
      </c>
      <c r="H667" s="19">
        <f>ROUND(H664/H665,2)</f>
        <v>21831.03</v>
      </c>
      <c r="I667" s="19">
        <f>ROUND(I664/I665,2)</f>
        <v>16954.21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-4.22</v>
      </c>
      <c r="I670" s="19">
        <f>SUM(F670:H670)</f>
        <v>-4.22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14134.22</v>
      </c>
      <c r="G672" s="19">
        <f>ROUND((G664+G669)/(G665+G670),2)</f>
        <v>17224.89</v>
      </c>
      <c r="H672" s="19">
        <f>ROUND((H664+H669)/(H665+H670),2)</f>
        <v>22397.13</v>
      </c>
      <c r="I672" s="19">
        <f>ROUND((I664+I669)/(I665+I670),2)</f>
        <v>17083.13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PITTSFIELD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2095979.4500000002</v>
      </c>
      <c r="C9" s="229">
        <f>'DOE25'!G197+'DOE25'!G215+'DOE25'!G233+'DOE25'!G276+'DOE25'!G295+'DOE25'!G314</f>
        <v>1004657.62</v>
      </c>
    </row>
    <row r="10" spans="1:3" x14ac:dyDescent="0.2">
      <c r="A10" t="s">
        <v>779</v>
      </c>
      <c r="B10" s="240">
        <v>1886629.97</v>
      </c>
      <c r="C10" s="240">
        <v>971892.91</v>
      </c>
    </row>
    <row r="11" spans="1:3" x14ac:dyDescent="0.2">
      <c r="A11" t="s">
        <v>780</v>
      </c>
      <c r="B11" s="240">
        <v>132667.57999999999</v>
      </c>
      <c r="C11" s="240">
        <v>26630.16</v>
      </c>
    </row>
    <row r="12" spans="1:3" x14ac:dyDescent="0.2">
      <c r="A12" t="s">
        <v>781</v>
      </c>
      <c r="B12" s="240">
        <v>76681.899999999994</v>
      </c>
      <c r="C12" s="240">
        <v>6134.55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2095979.45</v>
      </c>
      <c r="C13" s="231">
        <f>SUM(C10:C12)</f>
        <v>1004657.6200000001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1140365.1600000001</v>
      </c>
      <c r="C18" s="229">
        <f>'DOE25'!G198+'DOE25'!G216+'DOE25'!G234+'DOE25'!G277+'DOE25'!G296+'DOE25'!G315</f>
        <v>433755.14000000007</v>
      </c>
    </row>
    <row r="19" spans="1:3" x14ac:dyDescent="0.2">
      <c r="A19" t="s">
        <v>779</v>
      </c>
      <c r="B19" s="240">
        <v>496705.2</v>
      </c>
      <c r="C19" s="240">
        <v>296887.55</v>
      </c>
    </row>
    <row r="20" spans="1:3" x14ac:dyDescent="0.2">
      <c r="A20" t="s">
        <v>780</v>
      </c>
      <c r="B20" s="240">
        <v>620506.99</v>
      </c>
      <c r="C20" s="240">
        <v>134986.72</v>
      </c>
    </row>
    <row r="21" spans="1:3" x14ac:dyDescent="0.2">
      <c r="A21" t="s">
        <v>781</v>
      </c>
      <c r="B21" s="240">
        <v>23152.97</v>
      </c>
      <c r="C21" s="240">
        <v>1880.87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1140365.1599999999</v>
      </c>
      <c r="C22" s="231">
        <f>SUM(C19:C21)</f>
        <v>433755.14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67162.33</v>
      </c>
      <c r="C36" s="235">
        <f>'DOE25'!G200+'DOE25'!G218+'DOE25'!G236+'DOE25'!G279+'DOE25'!G298+'DOE25'!G317</f>
        <v>8945.23</v>
      </c>
    </row>
    <row r="37" spans="1:3" x14ac:dyDescent="0.2">
      <c r="A37" t="s">
        <v>779</v>
      </c>
      <c r="B37" s="240">
        <v>21827.5</v>
      </c>
      <c r="C37" s="240">
        <v>4888.58</v>
      </c>
    </row>
    <row r="38" spans="1:3" x14ac:dyDescent="0.2">
      <c r="A38" t="s">
        <v>780</v>
      </c>
      <c r="B38" s="240">
        <v>2938.7</v>
      </c>
      <c r="C38" s="240">
        <v>557.29999999999995</v>
      </c>
    </row>
    <row r="39" spans="1:3" x14ac:dyDescent="0.2">
      <c r="A39" t="s">
        <v>781</v>
      </c>
      <c r="B39" s="240">
        <v>42396.13</v>
      </c>
      <c r="C39" s="240">
        <v>3499.35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67162.33</v>
      </c>
      <c r="C40" s="231">
        <f>SUM(C37:C39)</f>
        <v>8945.23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PITTSFIELD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5030499.7299999995</v>
      </c>
      <c r="D5" s="20">
        <f>SUM('DOE25'!L197:L200)+SUM('DOE25'!L215:L218)+SUM('DOE25'!L233:L236)-F5-G5</f>
        <v>5005545.5699999994</v>
      </c>
      <c r="E5" s="243"/>
      <c r="F5" s="255">
        <f>SUM('DOE25'!J197:J200)+SUM('DOE25'!J215:J218)+SUM('DOE25'!J233:J236)</f>
        <v>4735.92</v>
      </c>
      <c r="G5" s="53">
        <f>SUM('DOE25'!K197:K200)+SUM('DOE25'!K215:K218)+SUM('DOE25'!K233:K236)</f>
        <v>20218.239999999998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728129.11</v>
      </c>
      <c r="D6" s="20">
        <f>'DOE25'!L202+'DOE25'!L220+'DOE25'!L238-F6-G6</f>
        <v>725751.80999999994</v>
      </c>
      <c r="E6" s="243"/>
      <c r="F6" s="255">
        <f>'DOE25'!J202+'DOE25'!J220+'DOE25'!J238</f>
        <v>2082.3000000000002</v>
      </c>
      <c r="G6" s="53">
        <f>'DOE25'!K202+'DOE25'!K220+'DOE25'!K238</f>
        <v>295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530683.52</v>
      </c>
      <c r="D7" s="20">
        <f>'DOE25'!L203+'DOE25'!L221+'DOE25'!L239-F7-G7</f>
        <v>370976.42000000004</v>
      </c>
      <c r="E7" s="243"/>
      <c r="F7" s="255">
        <f>'DOE25'!J203+'DOE25'!J221+'DOE25'!J239</f>
        <v>159692.1</v>
      </c>
      <c r="G7" s="53">
        <f>'DOE25'!K203+'DOE25'!K221+'DOE25'!K239</f>
        <v>15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122172.79000000002</v>
      </c>
      <c r="D8" s="243"/>
      <c r="E8" s="20">
        <f>'DOE25'!L204+'DOE25'!L222+'DOE25'!L240-F8-G8-D9-D11</f>
        <v>110505.83000000002</v>
      </c>
      <c r="F8" s="255">
        <f>'DOE25'!J204+'DOE25'!J222+'DOE25'!J240</f>
        <v>5204.22</v>
      </c>
      <c r="G8" s="53">
        <f>'DOE25'!K204+'DOE25'!K222+'DOE25'!K240</f>
        <v>6462.74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32595.01</v>
      </c>
      <c r="D9" s="244">
        <v>32595.01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8400</v>
      </c>
      <c r="D10" s="243"/>
      <c r="E10" s="244">
        <v>8400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206205.38</v>
      </c>
      <c r="D11" s="244">
        <v>206205.38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748036.06999999983</v>
      </c>
      <c r="D12" s="20">
        <f>'DOE25'!L205+'DOE25'!L223+'DOE25'!L241-F12-G12</f>
        <v>746369.18999999983</v>
      </c>
      <c r="E12" s="243"/>
      <c r="F12" s="255">
        <f>'DOE25'!J205+'DOE25'!J223+'DOE25'!J241</f>
        <v>0</v>
      </c>
      <c r="G12" s="53">
        <f>'DOE25'!K205+'DOE25'!K223+'DOE25'!K241</f>
        <v>1666.88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1010478.3899999999</v>
      </c>
      <c r="D14" s="20">
        <f>'DOE25'!L207+'DOE25'!L225+'DOE25'!L243-F14-G14</f>
        <v>976559.27999999991</v>
      </c>
      <c r="E14" s="243"/>
      <c r="F14" s="255">
        <f>'DOE25'!J207+'DOE25'!J225+'DOE25'!J243</f>
        <v>33919.11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540823.8600000001</v>
      </c>
      <c r="D15" s="20">
        <f>'DOE25'!L208+'DOE25'!L226+'DOE25'!L244-F15-G15</f>
        <v>540823.8600000001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355033.76</v>
      </c>
      <c r="D25" s="243"/>
      <c r="E25" s="243"/>
      <c r="F25" s="258"/>
      <c r="G25" s="256"/>
      <c r="H25" s="257">
        <f>'DOE25'!L260+'DOE25'!L261+'DOE25'!L341+'DOE25'!L342</f>
        <v>355033.76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295444.13</v>
      </c>
      <c r="D29" s="20">
        <f>'DOE25'!L358+'DOE25'!L359+'DOE25'!L360-'DOE25'!I367-F29-G29</f>
        <v>294053.13</v>
      </c>
      <c r="E29" s="243"/>
      <c r="F29" s="255">
        <f>'DOE25'!J358+'DOE25'!J359+'DOE25'!J360</f>
        <v>1391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1462964.67</v>
      </c>
      <c r="D31" s="20">
        <f>'DOE25'!L290+'DOE25'!L309+'DOE25'!L328+'DOE25'!L333+'DOE25'!L334+'DOE25'!L335-F31-G31</f>
        <v>1405677.53</v>
      </c>
      <c r="E31" s="243"/>
      <c r="F31" s="255">
        <f>'DOE25'!J290+'DOE25'!J309+'DOE25'!J328+'DOE25'!J333+'DOE25'!J334+'DOE25'!J335</f>
        <v>56735.66</v>
      </c>
      <c r="G31" s="53">
        <f>'DOE25'!K290+'DOE25'!K309+'DOE25'!K328+'DOE25'!K333+'DOE25'!K334+'DOE25'!K335</f>
        <v>551.48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10304557.179999998</v>
      </c>
      <c r="E33" s="246">
        <f>SUM(E5:E31)</f>
        <v>118905.83000000002</v>
      </c>
      <c r="F33" s="246">
        <f>SUM(F5:F31)</f>
        <v>263760.31000000006</v>
      </c>
      <c r="G33" s="246">
        <f>SUM(G5:G31)</f>
        <v>29209.339999999997</v>
      </c>
      <c r="H33" s="246">
        <f>SUM(H5:H31)</f>
        <v>355033.76</v>
      </c>
    </row>
    <row r="35" spans="2:8" ht="12" thickBot="1" x14ac:dyDescent="0.25">
      <c r="B35" s="253" t="s">
        <v>847</v>
      </c>
      <c r="D35" s="254">
        <f>E33</f>
        <v>118905.83000000002</v>
      </c>
      <c r="E35" s="249"/>
    </row>
    <row r="36" spans="2:8" ht="12" thickTop="1" x14ac:dyDescent="0.2">
      <c r="B36" t="s">
        <v>815</v>
      </c>
      <c r="D36" s="20">
        <f>D33</f>
        <v>10304557.179999998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1202358.22</v>
      </c>
      <c r="D8" s="95">
        <f>'DOE25'!G9</f>
        <v>7992.94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210123.51999999999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23102.12</v>
      </c>
      <c r="D11" s="95">
        <f>'DOE25'!G12</f>
        <v>0</v>
      </c>
      <c r="E11" s="95">
        <f>'DOE25'!H12</f>
        <v>65083.7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13394.12</v>
      </c>
      <c r="D12" s="95">
        <f>'DOE25'!G13</f>
        <v>19042.12</v>
      </c>
      <c r="E12" s="95">
        <f>'DOE25'!H13</f>
        <v>227990.89</v>
      </c>
      <c r="F12" s="95">
        <f>'DOE25'!I13</f>
        <v>0</v>
      </c>
      <c r="G12" s="95">
        <f>'DOE25'!J13</f>
        <v>454013.67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88239.87</v>
      </c>
      <c r="D13" s="95">
        <f>'DOE25'!G14</f>
        <v>1909.65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4528.6099999999997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1327094.33</v>
      </c>
      <c r="D18" s="41">
        <f>SUM(D8:D17)</f>
        <v>33473.32</v>
      </c>
      <c r="E18" s="41">
        <f>SUM(E8:E17)</f>
        <v>293074.59000000003</v>
      </c>
      <c r="F18" s="41">
        <f>SUM(F8:F17)</f>
        <v>0</v>
      </c>
      <c r="G18" s="41">
        <f>SUM(G8:G17)</f>
        <v>664137.18999999994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87594.18</v>
      </c>
      <c r="D21" s="95">
        <f>'DOE25'!G22</f>
        <v>23102.12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358399.18</v>
      </c>
      <c r="D23" s="95">
        <f>'DOE25'!G24</f>
        <v>10371.200000000001</v>
      </c>
      <c r="E23" s="95">
        <f>'DOE25'!H24</f>
        <v>161693.63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589794.34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131380.96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1035787.7</v>
      </c>
      <c r="D31" s="41">
        <f>SUM(D21:D30)</f>
        <v>33473.32</v>
      </c>
      <c r="E31" s="41">
        <f>SUM(E21:E30)</f>
        <v>293074.58999999997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4528.6099999999997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210123.51999999999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-4528.6099999999997</v>
      </c>
      <c r="E47" s="95">
        <f>'DOE25'!H48</f>
        <v>0</v>
      </c>
      <c r="F47" s="95">
        <f>'DOE25'!I48</f>
        <v>0</v>
      </c>
      <c r="G47" s="95">
        <f>'DOE25'!J48</f>
        <v>454013.67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291306.63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291306.63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664137.18999999994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1327094.33</v>
      </c>
      <c r="D51" s="41">
        <f>D50+D31</f>
        <v>33473.32</v>
      </c>
      <c r="E51" s="41">
        <f>E50+E31</f>
        <v>293074.58999999997</v>
      </c>
      <c r="F51" s="41">
        <f>F50+F31</f>
        <v>0</v>
      </c>
      <c r="G51" s="41">
        <f>G50+G31</f>
        <v>664137.18999999994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3908583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13207.310000000001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205.73</v>
      </c>
      <c r="D59" s="95">
        <f>'DOE25'!G96</f>
        <v>4.3099999999999996</v>
      </c>
      <c r="E59" s="95">
        <f>'DOE25'!H96</f>
        <v>0</v>
      </c>
      <c r="F59" s="95">
        <f>'DOE25'!I96</f>
        <v>0</v>
      </c>
      <c r="G59" s="95">
        <f>'DOE25'!J96</f>
        <v>3876.18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90975.29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134636.76999999999</v>
      </c>
      <c r="D61" s="95">
        <f>SUM('DOE25'!G98:G110)</f>
        <v>0</v>
      </c>
      <c r="E61" s="95">
        <f>SUM('DOE25'!H98:H110)</f>
        <v>954386.15</v>
      </c>
      <c r="F61" s="95">
        <f>SUM('DOE25'!I98:I110)</f>
        <v>0</v>
      </c>
      <c r="G61" s="95">
        <f>SUM('DOE25'!J98:J110)</f>
        <v>21993.39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148049.81</v>
      </c>
      <c r="D62" s="130">
        <f>SUM(D57:D61)</f>
        <v>90979.599999999991</v>
      </c>
      <c r="E62" s="130">
        <f>SUM(E57:E61)</f>
        <v>954386.15</v>
      </c>
      <c r="F62" s="130">
        <f>SUM(F57:F61)</f>
        <v>0</v>
      </c>
      <c r="G62" s="130">
        <f>SUM(G57:G61)</f>
        <v>25869.57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4056632.81</v>
      </c>
      <c r="D63" s="22">
        <f>D56+D62</f>
        <v>90979.599999999991</v>
      </c>
      <c r="E63" s="22">
        <f>E56+E62</f>
        <v>954386.15</v>
      </c>
      <c r="F63" s="22">
        <f>F56+F62</f>
        <v>0</v>
      </c>
      <c r="G63" s="22">
        <f>G56+G62</f>
        <v>25869.57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4187006.16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532487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4719493.16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100163.26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135898.51999999999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7365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3937.58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243426.77999999997</v>
      </c>
      <c r="D78" s="130">
        <f>SUM(D72:D77)</f>
        <v>3937.58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4962919.9400000004</v>
      </c>
      <c r="D81" s="130">
        <f>SUM(D79:D80)+D78+D70</f>
        <v>3937.58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179554.85</v>
      </c>
      <c r="D88" s="95">
        <f>SUM('DOE25'!G153:G161)</f>
        <v>206696.41</v>
      </c>
      <c r="E88" s="95">
        <f>SUM('DOE25'!H153:H161)</f>
        <v>486165.13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31084.68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179554.85</v>
      </c>
      <c r="D91" s="131">
        <f>SUM(D85:D90)</f>
        <v>206696.41</v>
      </c>
      <c r="E91" s="131">
        <f>SUM(E85:E90)</f>
        <v>517249.81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13592.72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758</v>
      </c>
      <c r="B97" s="32" t="s">
        <v>188</v>
      </c>
      <c r="C97" s="95">
        <f>SUM('DOE25'!F180:F181)</f>
        <v>8671.2900000000009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8671.2900000000009</v>
      </c>
      <c r="D103" s="86">
        <f>SUM(D93:D102)</f>
        <v>13592.72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765</v>
      </c>
      <c r="C104" s="86">
        <f>C63+C81+C91+C103</f>
        <v>9207778.8899999987</v>
      </c>
      <c r="D104" s="86">
        <f>D63+D81+D91+D103</f>
        <v>315206.30999999994</v>
      </c>
      <c r="E104" s="86">
        <f>E63+E81+E91+E103</f>
        <v>1471635.96</v>
      </c>
      <c r="F104" s="86">
        <f>F63+F81+F91+F103</f>
        <v>0</v>
      </c>
      <c r="G104" s="86">
        <f>G63+G81+G103</f>
        <v>175869.57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3003056.18</v>
      </c>
      <c r="D109" s="24" t="s">
        <v>289</v>
      </c>
      <c r="E109" s="95">
        <f>('DOE25'!L276)+('DOE25'!L295)+('DOE25'!L314)</f>
        <v>291232.64000000001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1887561.6500000001</v>
      </c>
      <c r="D110" s="24" t="s">
        <v>289</v>
      </c>
      <c r="E110" s="95">
        <f>('DOE25'!L277)+('DOE25'!L296)+('DOE25'!L315)</f>
        <v>45378.170000000006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28291.919999999998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111589.98000000001</v>
      </c>
      <c r="D112" s="24" t="s">
        <v>289</v>
      </c>
      <c r="E112" s="95">
        <f>+('DOE25'!L279)+('DOE25'!L298)+('DOE25'!L317)</f>
        <v>11973.97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7000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37500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5037499.7300000004</v>
      </c>
      <c r="D115" s="86">
        <f>SUM(D109:D114)</f>
        <v>0</v>
      </c>
      <c r="E115" s="86">
        <f>SUM(E109:E114)</f>
        <v>386084.77999999997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728129.11</v>
      </c>
      <c r="D118" s="24" t="s">
        <v>289</v>
      </c>
      <c r="E118" s="95">
        <f>+('DOE25'!L281)+('DOE25'!L300)+('DOE25'!L319)</f>
        <v>117259.1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530683.52</v>
      </c>
      <c r="D119" s="24" t="s">
        <v>289</v>
      </c>
      <c r="E119" s="95">
        <f>+('DOE25'!L282)+('DOE25'!L301)+('DOE25'!L320)</f>
        <v>757433.17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360973.18</v>
      </c>
      <c r="D120" s="24" t="s">
        <v>289</v>
      </c>
      <c r="E120" s="95">
        <f>+('DOE25'!L283)+('DOE25'!L302)+('DOE25'!L321)</f>
        <v>26889.87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748036.06999999983</v>
      </c>
      <c r="D121" s="24" t="s">
        <v>289</v>
      </c>
      <c r="E121" s="95">
        <f>+('DOE25'!L284)+('DOE25'!L303)+('DOE25'!L322)</f>
        <v>140176.03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1010478.3899999999</v>
      </c>
      <c r="D123" s="24" t="s">
        <v>289</v>
      </c>
      <c r="E123" s="95">
        <f>+('DOE25'!L286)+('DOE25'!L305)+('DOE25'!L324)</f>
        <v>19783.3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540823.8600000001</v>
      </c>
      <c r="D124" s="24" t="s">
        <v>289</v>
      </c>
      <c r="E124" s="95">
        <f>+('DOE25'!L287)+('DOE25'!L306)+('DOE25'!L325)</f>
        <v>15338.420000000002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310961.89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3919124.13</v>
      </c>
      <c r="D128" s="86">
        <f>SUM(D118:D127)</f>
        <v>310961.89</v>
      </c>
      <c r="E128" s="86">
        <f>SUM(E118:E127)</f>
        <v>1076879.8899999999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90033.76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8671.2900000000009</v>
      </c>
      <c r="F134" s="95">
        <f>'DOE25'!K381</f>
        <v>0</v>
      </c>
      <c r="G134" s="95">
        <f>'DOE25'!K434</f>
        <v>7444.76</v>
      </c>
    </row>
    <row r="135" spans="1:7" x14ac:dyDescent="0.2">
      <c r="A135" t="s">
        <v>233</v>
      </c>
      <c r="B135" s="32" t="s">
        <v>234</v>
      </c>
      <c r="C135" s="95">
        <f>'DOE25'!L263</f>
        <v>13592.72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0.22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157483.84000000003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18385.509999999998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-25869.570000000036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518626.48</v>
      </c>
      <c r="D144" s="141">
        <f>SUM(D130:D143)</f>
        <v>0</v>
      </c>
      <c r="E144" s="141">
        <f>SUM(E130:E143)</f>
        <v>8671.2900000000009</v>
      </c>
      <c r="F144" s="141">
        <f>SUM(F130:F143)</f>
        <v>0</v>
      </c>
      <c r="G144" s="141">
        <f>SUM(G130:G143)</f>
        <v>7444.76</v>
      </c>
    </row>
    <row r="145" spans="1:9" ht="12.75" thickTop="1" thickBot="1" x14ac:dyDescent="0.25">
      <c r="A145" s="33" t="s">
        <v>244</v>
      </c>
      <c r="C145" s="86">
        <f>(C115+C128+C144)</f>
        <v>9475250.3399999999</v>
      </c>
      <c r="D145" s="86">
        <f>(D115+D128+D144)</f>
        <v>310961.89</v>
      </c>
      <c r="E145" s="86">
        <f>(E115+E128+E144)</f>
        <v>1471635.96</v>
      </c>
      <c r="F145" s="86">
        <f>(F115+F128+F144)</f>
        <v>0</v>
      </c>
      <c r="G145" s="86">
        <f>(G115+G128+G144)</f>
        <v>7444.76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5300000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265000</v>
      </c>
    </row>
    <row r="159" spans="1:9" x14ac:dyDescent="0.2">
      <c r="A159" s="22" t="s">
        <v>35</v>
      </c>
      <c r="B159" s="137">
        <f>'DOE25'!F498</f>
        <v>1325000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1325000</v>
      </c>
    </row>
    <row r="160" spans="1:9" x14ac:dyDescent="0.2">
      <c r="A160" s="22" t="s">
        <v>36</v>
      </c>
      <c r="B160" s="137">
        <f>'DOE25'!F499</f>
        <v>226575.02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226575.02</v>
      </c>
    </row>
    <row r="161" spans="1:7" x14ac:dyDescent="0.2">
      <c r="A161" s="22" t="s">
        <v>37</v>
      </c>
      <c r="B161" s="137">
        <f>'DOE25'!F500</f>
        <v>1551575.02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1551575.02</v>
      </c>
    </row>
    <row r="162" spans="1:7" x14ac:dyDescent="0.2">
      <c r="A162" s="22" t="s">
        <v>38</v>
      </c>
      <c r="B162" s="137">
        <f>'DOE25'!F501</f>
        <v>265000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265000</v>
      </c>
    </row>
    <row r="163" spans="1:7" x14ac:dyDescent="0.2">
      <c r="A163" s="22" t="s">
        <v>39</v>
      </c>
      <c r="B163" s="137">
        <f>'DOE25'!F502</f>
        <v>75193.759999999995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75193.759999999995</v>
      </c>
    </row>
    <row r="164" spans="1:7" x14ac:dyDescent="0.2">
      <c r="A164" s="22" t="s">
        <v>246</v>
      </c>
      <c r="B164" s="137">
        <f>'DOE25'!F503</f>
        <v>340193.76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340193.76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PITTSFIELD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14134</v>
      </c>
    </row>
    <row r="5" spans="1:4" x14ac:dyDescent="0.2">
      <c r="B5" t="s">
        <v>704</v>
      </c>
      <c r="C5" s="179">
        <f>IF('DOE25'!G665+'DOE25'!G670=0,0,ROUND('DOE25'!G672,0))</f>
        <v>17225</v>
      </c>
    </row>
    <row r="6" spans="1:4" x14ac:dyDescent="0.2">
      <c r="B6" t="s">
        <v>62</v>
      </c>
      <c r="C6" s="179">
        <f>IF('DOE25'!H665+'DOE25'!H670=0,0,ROUND('DOE25'!H672,0))</f>
        <v>22397</v>
      </c>
    </row>
    <row r="7" spans="1:4" x14ac:dyDescent="0.2">
      <c r="B7" t="s">
        <v>705</v>
      </c>
      <c r="C7" s="179">
        <f>IF('DOE25'!I665+'DOE25'!I670=0,0,ROUND('DOE25'!I672,0))</f>
        <v>17083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3294289</v>
      </c>
      <c r="D10" s="182">
        <f>ROUND((C10/$C$28)*100,1)</f>
        <v>30.7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1932940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28292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123564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845388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1288117</v>
      </c>
      <c r="D16" s="182">
        <f t="shared" si="0"/>
        <v>12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387863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888212</v>
      </c>
      <c r="D18" s="182">
        <f t="shared" si="0"/>
        <v>8.3000000000000007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1030262</v>
      </c>
      <c r="D20" s="182">
        <f t="shared" si="0"/>
        <v>9.6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556162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7000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37500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90034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219986.71000000002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10729609.710000001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10729609.710000001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265000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3908583</v>
      </c>
      <c r="D35" s="182">
        <f t="shared" ref="D35:D40" si="1">ROUND((C35/$C$41)*100,1)</f>
        <v>35.799999999999997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1128309.8400000008</v>
      </c>
      <c r="D36" s="182">
        <f t="shared" si="1"/>
        <v>10.3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4719493</v>
      </c>
      <c r="D37" s="182">
        <f t="shared" si="1"/>
        <v>43.3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247364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903501</v>
      </c>
      <c r="D39" s="182">
        <f t="shared" si="1"/>
        <v>8.3000000000000007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10907250.84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PITTSFIELD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2015-10-21T13:09:11Z</cp:lastPrinted>
  <dcterms:created xsi:type="dcterms:W3CDTF">1997-12-04T19:04:30Z</dcterms:created>
  <dcterms:modified xsi:type="dcterms:W3CDTF">2015-11-30T13:51:23Z</dcterms:modified>
</cp:coreProperties>
</file>