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3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11" i="13" l="1"/>
  <c r="H244" i="1"/>
  <c r="H208" i="1"/>
  <c r="H591" i="1"/>
  <c r="J465" i="1"/>
  <c r="G439" i="1"/>
  <c r="F439" i="1"/>
  <c r="J96" i="1" l="1"/>
  <c r="H358" i="1"/>
  <c r="G179" i="1"/>
  <c r="H22" i="1"/>
  <c r="K263" i="1"/>
  <c r="G12" i="1"/>
  <c r="I197" i="1"/>
  <c r="F9" i="1"/>
  <c r="H197" i="1" l="1"/>
  <c r="I200" i="1"/>
  <c r="H204" i="1"/>
  <c r="I198" i="1"/>
  <c r="H198" i="1"/>
  <c r="I207" i="1"/>
  <c r="H207" i="1"/>
  <c r="K204" i="1"/>
  <c r="F96" i="1"/>
  <c r="G521" i="1"/>
  <c r="C10" i="12"/>
  <c r="G205" i="1" l="1"/>
  <c r="G204" i="1"/>
  <c r="G203" i="1"/>
  <c r="G202" i="1"/>
  <c r="G198" i="1"/>
  <c r="G197" i="1"/>
  <c r="D9" i="13" l="1"/>
  <c r="E10" i="13"/>
  <c r="B19" i="12"/>
  <c r="B20" i="12"/>
  <c r="B11" i="12"/>
  <c r="B10" i="12"/>
  <c r="B12" i="12"/>
  <c r="H543" i="1"/>
  <c r="H541" i="1"/>
  <c r="H523" i="1"/>
  <c r="K521" i="1"/>
  <c r="J521" i="1"/>
  <c r="I521" i="1"/>
  <c r="H521" i="1"/>
  <c r="H526" i="1"/>
  <c r="F521" i="1"/>
  <c r="H580" i="1"/>
  <c r="F580" i="1"/>
  <c r="F578" i="1" s="1"/>
  <c r="H575" i="1"/>
  <c r="G502" i="1"/>
  <c r="G499" i="1"/>
  <c r="F502" i="1"/>
  <c r="F499" i="1"/>
  <c r="G498" i="1"/>
  <c r="F498" i="1"/>
  <c r="H277" i="1" l="1"/>
  <c r="H465" i="1"/>
  <c r="H595" i="1"/>
  <c r="J592" i="1"/>
  <c r="H159" i="1"/>
  <c r="H155" i="1"/>
  <c r="H154" i="1"/>
  <c r="G97" i="1"/>
  <c r="F160" i="1"/>
  <c r="F123" i="1"/>
  <c r="H13" i="1"/>
  <c r="G13" i="1"/>
  <c r="F14" i="1"/>
  <c r="I277" i="1"/>
  <c r="F277" i="1"/>
  <c r="H282" i="1"/>
  <c r="G276" i="1"/>
  <c r="F276" i="1"/>
  <c r="H276" i="1"/>
  <c r="I358" i="1"/>
  <c r="F368" i="1" s="1"/>
  <c r="G358" i="1"/>
  <c r="F358" i="1"/>
  <c r="K261" i="1"/>
  <c r="J207" i="1"/>
  <c r="G207" i="1"/>
  <c r="F207" i="1"/>
  <c r="K205" i="1"/>
  <c r="J205" i="1"/>
  <c r="I205" i="1"/>
  <c r="H205" i="1"/>
  <c r="F205" i="1"/>
  <c r="I204" i="1"/>
  <c r="F204" i="1"/>
  <c r="J203" i="1"/>
  <c r="I203" i="1"/>
  <c r="H203" i="1"/>
  <c r="F203" i="1"/>
  <c r="I202" i="1"/>
  <c r="F202" i="1"/>
  <c r="J202" i="1"/>
  <c r="H202" i="1"/>
  <c r="K200" i="1"/>
  <c r="G200" i="1"/>
  <c r="F200" i="1"/>
  <c r="H233" i="1"/>
  <c r="K198" i="1"/>
  <c r="J198" i="1"/>
  <c r="F198" i="1"/>
  <c r="F197" i="1"/>
  <c r="C45" i="2" l="1"/>
  <c r="C37" i="10" l="1"/>
  <c r="F40" i="2" l="1"/>
  <c r="G655" i="1"/>
  <c r="F48" i="2"/>
  <c r="E48" i="2"/>
  <c r="D48" i="2"/>
  <c r="C48" i="2"/>
  <c r="F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E13" i="13" s="1"/>
  <c r="C13" i="13" s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C118" i="2" s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D18" i="13" s="1"/>
  <c r="C18" i="13" s="1"/>
  <c r="G18" i="13"/>
  <c r="L252" i="1"/>
  <c r="F19" i="13"/>
  <c r="G19" i="13"/>
  <c r="L253" i="1"/>
  <c r="D19" i="13" s="1"/>
  <c r="C19" i="13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C12" i="10" s="1"/>
  <c r="L279" i="1"/>
  <c r="E112" i="2" s="1"/>
  <c r="L281" i="1"/>
  <c r="L282" i="1"/>
  <c r="L283" i="1"/>
  <c r="L284" i="1"/>
  <c r="E121" i="2" s="1"/>
  <c r="L285" i="1"/>
  <c r="L286" i="1"/>
  <c r="L287" i="1"/>
  <c r="F662" i="1" s="1"/>
  <c r="L288" i="1"/>
  <c r="L295" i="1"/>
  <c r="L296" i="1"/>
  <c r="L297" i="1"/>
  <c r="L309" i="1" s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C32" i="10" s="1"/>
  <c r="L261" i="1"/>
  <c r="L341" i="1"/>
  <c r="L342" i="1"/>
  <c r="C25" i="10" s="1"/>
  <c r="L255" i="1"/>
  <c r="C130" i="2" s="1"/>
  <c r="L336" i="1"/>
  <c r="C11" i="13"/>
  <c r="C10" i="13"/>
  <c r="C9" i="13"/>
  <c r="L361" i="1"/>
  <c r="B4" i="12"/>
  <c r="B36" i="12"/>
  <c r="C36" i="12"/>
  <c r="A40" i="12" s="1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C40" i="10"/>
  <c r="F60" i="1"/>
  <c r="G60" i="1"/>
  <c r="H60" i="1"/>
  <c r="E56" i="2" s="1"/>
  <c r="I60" i="1"/>
  <c r="F56" i="2" s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9" i="1" s="1"/>
  <c r="F162" i="1"/>
  <c r="G147" i="1"/>
  <c r="G162" i="1"/>
  <c r="H147" i="1"/>
  <c r="H169" i="1" s="1"/>
  <c r="H162" i="1"/>
  <c r="I147" i="1"/>
  <c r="I162" i="1"/>
  <c r="I169" i="1" s="1"/>
  <c r="C11" i="10"/>
  <c r="C15" i="10"/>
  <c r="C19" i="10"/>
  <c r="L250" i="1"/>
  <c r="L332" i="1"/>
  <c r="L254" i="1"/>
  <c r="L268" i="1"/>
  <c r="L269" i="1"/>
  <c r="C143" i="2" s="1"/>
  <c r="L349" i="1"/>
  <c r="E142" i="2" s="1"/>
  <c r="L350" i="1"/>
  <c r="I665" i="1"/>
  <c r="I670" i="1"/>
  <c r="L229" i="1"/>
  <c r="I669" i="1"/>
  <c r="C42" i="10"/>
  <c r="L374" i="1"/>
  <c r="L375" i="1"/>
  <c r="F130" i="2" s="1"/>
  <c r="L376" i="1"/>
  <c r="L377" i="1"/>
  <c r="L378" i="1"/>
  <c r="L379" i="1"/>
  <c r="L380" i="1"/>
  <c r="B2" i="10"/>
  <c r="L344" i="1"/>
  <c r="E134" i="2" s="1"/>
  <c r="L345" i="1"/>
  <c r="L346" i="1"/>
  <c r="E137" i="2" s="1"/>
  <c r="L347" i="1"/>
  <c r="K351" i="1"/>
  <c r="L521" i="1"/>
  <c r="F549" i="1" s="1"/>
  <c r="L522" i="1"/>
  <c r="F550" i="1" s="1"/>
  <c r="K550" i="1" s="1"/>
  <c r="L523" i="1"/>
  <c r="F551" i="1" s="1"/>
  <c r="L526" i="1"/>
  <c r="G549" i="1" s="1"/>
  <c r="L527" i="1"/>
  <c r="G550" i="1" s="1"/>
  <c r="L528" i="1"/>
  <c r="G551" i="1" s="1"/>
  <c r="K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1" i="2"/>
  <c r="K270" i="1"/>
  <c r="J270" i="1"/>
  <c r="I270" i="1"/>
  <c r="H270" i="1"/>
  <c r="G270" i="1"/>
  <c r="L270" i="1" s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D18" i="2" s="1"/>
  <c r="E9" i="2"/>
  <c r="F9" i="2"/>
  <c r="I440" i="1"/>
  <c r="J10" i="1" s="1"/>
  <c r="G9" i="2" s="1"/>
  <c r="C10" i="2"/>
  <c r="C11" i="2"/>
  <c r="D11" i="2"/>
  <c r="E11" i="2"/>
  <c r="F11" i="2"/>
  <c r="F18" i="2" s="1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C56" i="2"/>
  <c r="D56" i="2"/>
  <c r="C57" i="2"/>
  <c r="E57" i="2"/>
  <c r="E62" i="2" s="1"/>
  <c r="E63" i="2" s="1"/>
  <c r="C58" i="2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E111" i="2"/>
  <c r="C112" i="2"/>
  <c r="C113" i="2"/>
  <c r="E113" i="2"/>
  <c r="C114" i="2"/>
  <c r="D115" i="2"/>
  <c r="F115" i="2"/>
  <c r="G115" i="2"/>
  <c r="E118" i="2"/>
  <c r="E119" i="2"/>
  <c r="E120" i="2"/>
  <c r="E122" i="2"/>
  <c r="C123" i="2"/>
  <c r="E123" i="2"/>
  <c r="E125" i="2"/>
  <c r="F128" i="2"/>
  <c r="G128" i="2"/>
  <c r="E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G164" i="2" s="1"/>
  <c r="I503" i="1"/>
  <c r="E164" i="2" s="1"/>
  <c r="J503" i="1"/>
  <c r="F164" i="2" s="1"/>
  <c r="F19" i="1"/>
  <c r="G19" i="1"/>
  <c r="G40" i="1" s="1"/>
  <c r="G51" i="1" s="1"/>
  <c r="G623" i="1" s="1"/>
  <c r="H19" i="1"/>
  <c r="I19" i="1"/>
  <c r="F32" i="1"/>
  <c r="G32" i="1"/>
  <c r="H32" i="1"/>
  <c r="H48" i="1" s="1"/>
  <c r="E47" i="2" s="1"/>
  <c r="I32" i="1"/>
  <c r="I51" i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K257" i="1" s="1"/>
  <c r="F229" i="1"/>
  <c r="F257" i="1" s="1"/>
  <c r="F271" i="1" s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F408" i="1"/>
  <c r="H643" i="1" s="1"/>
  <c r="J643" i="1" s="1"/>
  <c r="G408" i="1"/>
  <c r="H645" i="1" s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F459" i="1" s="1"/>
  <c r="I459" i="1" s="1"/>
  <c r="G446" i="1"/>
  <c r="G459" i="1" s="1"/>
  <c r="H446" i="1"/>
  <c r="I446" i="1"/>
  <c r="G642" i="1" s="1"/>
  <c r="F452" i="1"/>
  <c r="G452" i="1"/>
  <c r="H452" i="1"/>
  <c r="I452" i="1"/>
  <c r="F460" i="1"/>
  <c r="G460" i="1"/>
  <c r="H460" i="1"/>
  <c r="F461" i="1"/>
  <c r="H639" i="1" s="1"/>
  <c r="G461" i="1"/>
  <c r="H461" i="1"/>
  <c r="H641" i="1" s="1"/>
  <c r="I470" i="1"/>
  <c r="I474" i="1"/>
  <c r="I476" i="1" s="1"/>
  <c r="H625" i="1" s="1"/>
  <c r="J625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K545" i="1" s="1"/>
  <c r="L524" i="1"/>
  <c r="F529" i="1"/>
  <c r="G529" i="1"/>
  <c r="H529" i="1"/>
  <c r="I529" i="1"/>
  <c r="I545" i="1" s="1"/>
  <c r="J529" i="1"/>
  <c r="K529" i="1"/>
  <c r="F534" i="1"/>
  <c r="G534" i="1"/>
  <c r="H534" i="1"/>
  <c r="I534" i="1"/>
  <c r="J534" i="1"/>
  <c r="J545" i="1" s="1"/>
  <c r="K534" i="1"/>
  <c r="F539" i="1"/>
  <c r="G539" i="1"/>
  <c r="G545" i="1" s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L560" i="1" s="1"/>
  <c r="F560" i="1"/>
  <c r="F571" i="1" s="1"/>
  <c r="G560" i="1"/>
  <c r="H560" i="1"/>
  <c r="I560" i="1"/>
  <c r="I571" i="1" s="1"/>
  <c r="J560" i="1"/>
  <c r="K560" i="1"/>
  <c r="L562" i="1"/>
  <c r="L563" i="1"/>
  <c r="L565" i="1" s="1"/>
  <c r="L564" i="1"/>
  <c r="F565" i="1"/>
  <c r="G565" i="1"/>
  <c r="H565" i="1"/>
  <c r="H571" i="1" s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5" i="1" s="1"/>
  <c r="G648" i="1" s="1"/>
  <c r="I605" i="1"/>
  <c r="J605" i="1"/>
  <c r="F614" i="1"/>
  <c r="G614" i="1"/>
  <c r="H614" i="1"/>
  <c r="I614" i="1"/>
  <c r="J614" i="1"/>
  <c r="K614" i="1"/>
  <c r="L614" i="1"/>
  <c r="G619" i="1"/>
  <c r="G620" i="1"/>
  <c r="G625" i="1"/>
  <c r="H630" i="1"/>
  <c r="G634" i="1"/>
  <c r="H636" i="1"/>
  <c r="G639" i="1"/>
  <c r="G640" i="1"/>
  <c r="H640" i="1"/>
  <c r="G641" i="1"/>
  <c r="J641" i="1" s="1"/>
  <c r="G643" i="1"/>
  <c r="G644" i="1"/>
  <c r="G645" i="1"/>
  <c r="G649" i="1"/>
  <c r="G650" i="1"/>
  <c r="G652" i="1"/>
  <c r="H652" i="1"/>
  <c r="G653" i="1"/>
  <c r="H653" i="1"/>
  <c r="G654" i="1"/>
  <c r="H654" i="1"/>
  <c r="H655" i="1"/>
  <c r="F192" i="1"/>
  <c r="L256" i="1"/>
  <c r="L328" i="1"/>
  <c r="D12" i="13"/>
  <c r="C12" i="13" s="1"/>
  <c r="D17" i="13"/>
  <c r="C17" i="13" s="1"/>
  <c r="D31" i="2"/>
  <c r="G161" i="2"/>
  <c r="D91" i="2"/>
  <c r="D14" i="13"/>
  <c r="C14" i="13" s="1"/>
  <c r="E78" i="2"/>
  <c r="J257" i="1"/>
  <c r="J271" i="1" s="1"/>
  <c r="H604" i="1" s="1"/>
  <c r="K604" i="1" s="1"/>
  <c r="J571" i="1"/>
  <c r="D81" i="2"/>
  <c r="G338" i="1"/>
  <c r="G352" i="1" s="1"/>
  <c r="J140" i="1"/>
  <c r="G22" i="2"/>
  <c r="H552" i="1"/>
  <c r="C29" i="10"/>
  <c r="H338" i="1"/>
  <c r="H352" i="1" s="1"/>
  <c r="F552" i="1"/>
  <c r="J655" i="1"/>
  <c r="G36" i="2"/>
  <c r="H545" i="1"/>
  <c r="E128" i="2" l="1"/>
  <c r="J48" i="1"/>
  <c r="G47" i="2" s="1"/>
  <c r="I460" i="1"/>
  <c r="I461" i="1" s="1"/>
  <c r="H642" i="1" s="1"/>
  <c r="E115" i="2"/>
  <c r="G552" i="1"/>
  <c r="L529" i="1"/>
  <c r="L393" i="1"/>
  <c r="C138" i="2" s="1"/>
  <c r="C121" i="2"/>
  <c r="F22" i="13"/>
  <c r="C22" i="13" s="1"/>
  <c r="E81" i="2"/>
  <c r="H605" i="1"/>
  <c r="L534" i="1"/>
  <c r="K500" i="1"/>
  <c r="G192" i="1"/>
  <c r="I52" i="1"/>
  <c r="H620" i="1" s="1"/>
  <c r="E124" i="2"/>
  <c r="C122" i="2"/>
  <c r="C85" i="2"/>
  <c r="C91" i="2" s="1"/>
  <c r="E132" i="2"/>
  <c r="C13" i="10"/>
  <c r="C16" i="10"/>
  <c r="E16" i="13"/>
  <c r="C16" i="13" s="1"/>
  <c r="H25" i="13"/>
  <c r="C26" i="10"/>
  <c r="G257" i="1"/>
  <c r="G271" i="1" s="1"/>
  <c r="C131" i="2"/>
  <c r="F663" i="1"/>
  <c r="G661" i="1"/>
  <c r="H662" i="1"/>
  <c r="C17" i="10"/>
  <c r="C35" i="10"/>
  <c r="H112" i="1"/>
  <c r="D6" i="13"/>
  <c r="C6" i="13" s="1"/>
  <c r="L290" i="1"/>
  <c r="K598" i="1"/>
  <c r="G647" i="1" s="1"/>
  <c r="L539" i="1"/>
  <c r="K503" i="1"/>
  <c r="J639" i="1"/>
  <c r="L382" i="1"/>
  <c r="G636" i="1" s="1"/>
  <c r="J636" i="1" s="1"/>
  <c r="K338" i="1"/>
  <c r="K352" i="1" s="1"/>
  <c r="I257" i="1"/>
  <c r="I271" i="1" s="1"/>
  <c r="C70" i="2"/>
  <c r="E31" i="2"/>
  <c r="C18" i="2"/>
  <c r="G651" i="1"/>
  <c r="J651" i="1" s="1"/>
  <c r="L247" i="1"/>
  <c r="H660" i="1" s="1"/>
  <c r="C21" i="10"/>
  <c r="C81" i="2"/>
  <c r="H408" i="1"/>
  <c r="H644" i="1" s="1"/>
  <c r="J644" i="1" s="1"/>
  <c r="L401" i="1"/>
  <c r="C139" i="2" s="1"/>
  <c r="J640" i="1"/>
  <c r="J645" i="1"/>
  <c r="D29" i="13"/>
  <c r="C29" i="13" s="1"/>
  <c r="L351" i="1"/>
  <c r="K271" i="1"/>
  <c r="H51" i="1"/>
  <c r="G618" i="1"/>
  <c r="J618" i="1" s="1"/>
  <c r="G52" i="1"/>
  <c r="H618" i="1" s="1"/>
  <c r="D39" i="2"/>
  <c r="D50" i="2" s="1"/>
  <c r="D51" i="2" s="1"/>
  <c r="G617" i="1"/>
  <c r="F50" i="1"/>
  <c r="H257" i="1"/>
  <c r="H271" i="1" s="1"/>
  <c r="E8" i="13"/>
  <c r="C8" i="13" s="1"/>
  <c r="C120" i="2"/>
  <c r="H661" i="1"/>
  <c r="L362" i="1"/>
  <c r="G472" i="1" s="1"/>
  <c r="D127" i="2"/>
  <c r="D128" i="2" s="1"/>
  <c r="D145" i="2" s="1"/>
  <c r="F661" i="1"/>
  <c r="I662" i="1"/>
  <c r="L211" i="1"/>
  <c r="F660" i="1" s="1"/>
  <c r="C124" i="2"/>
  <c r="D15" i="13"/>
  <c r="C15" i="13" s="1"/>
  <c r="H647" i="1"/>
  <c r="J647" i="1" s="1"/>
  <c r="C18" i="10"/>
  <c r="D7" i="13"/>
  <c r="C7" i="13" s="1"/>
  <c r="C119" i="2"/>
  <c r="D5" i="13"/>
  <c r="C5" i="13" s="1"/>
  <c r="C109" i="2"/>
  <c r="C115" i="2" s="1"/>
  <c r="A13" i="12"/>
  <c r="L545" i="1"/>
  <c r="K549" i="1"/>
  <c r="K552" i="1" s="1"/>
  <c r="J649" i="1"/>
  <c r="C62" i="2"/>
  <c r="C63" i="2" s="1"/>
  <c r="C10" i="10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F31" i="2"/>
  <c r="C31" i="2"/>
  <c r="E18" i="2"/>
  <c r="E144" i="2"/>
  <c r="F50" i="2"/>
  <c r="F51" i="2" s="1"/>
  <c r="E145" i="2"/>
  <c r="L338" i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H646" i="1" s="1"/>
  <c r="J654" i="1"/>
  <c r="J653" i="1"/>
  <c r="F144" i="2"/>
  <c r="F145" i="2" s="1"/>
  <c r="G21" i="2"/>
  <c r="G31" i="2" s="1"/>
  <c r="J32" i="1"/>
  <c r="L434" i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169" i="1"/>
  <c r="C39" i="10" s="1"/>
  <c r="G140" i="1"/>
  <c r="F140" i="1"/>
  <c r="F193" i="1" s="1"/>
  <c r="C36" i="10"/>
  <c r="G63" i="2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G629" i="1" l="1"/>
  <c r="H468" i="1"/>
  <c r="C128" i="2"/>
  <c r="C145" i="2" s="1"/>
  <c r="I661" i="1"/>
  <c r="C25" i="13"/>
  <c r="H33" i="13"/>
  <c r="D31" i="13"/>
  <c r="C31" i="13" s="1"/>
  <c r="F33" i="13"/>
  <c r="G638" i="1"/>
  <c r="J472" i="1"/>
  <c r="G637" i="1"/>
  <c r="J468" i="1"/>
  <c r="G104" i="2"/>
  <c r="L352" i="1"/>
  <c r="H472" i="1" s="1"/>
  <c r="C104" i="2"/>
  <c r="H52" i="1"/>
  <c r="H619" i="1" s="1"/>
  <c r="J619" i="1" s="1"/>
  <c r="G624" i="1"/>
  <c r="F51" i="1"/>
  <c r="C49" i="2"/>
  <c r="C50" i="2" s="1"/>
  <c r="C51" i="2" s="1"/>
  <c r="E33" i="13"/>
  <c r="D35" i="13" s="1"/>
  <c r="G627" i="1"/>
  <c r="F468" i="1"/>
  <c r="F664" i="1"/>
  <c r="F672" i="1" s="1"/>
  <c r="C4" i="10" s="1"/>
  <c r="G672" i="1"/>
  <c r="C5" i="10" s="1"/>
  <c r="H664" i="1"/>
  <c r="G474" i="1"/>
  <c r="H635" i="1"/>
  <c r="J635" i="1" s="1"/>
  <c r="L257" i="1"/>
  <c r="L271" i="1" s="1"/>
  <c r="G632" i="1" s="1"/>
  <c r="I660" i="1"/>
  <c r="I664" i="1" s="1"/>
  <c r="I672" i="1" s="1"/>
  <c r="C7" i="10" s="1"/>
  <c r="C28" i="10"/>
  <c r="D23" i="10" s="1"/>
  <c r="F472" i="1"/>
  <c r="G633" i="1"/>
  <c r="G631" i="1"/>
  <c r="D33" i="13"/>
  <c r="D36" i="13" s="1"/>
  <c r="J646" i="1"/>
  <c r="G193" i="1"/>
  <c r="G626" i="1"/>
  <c r="J52" i="1"/>
  <c r="H621" i="1" s="1"/>
  <c r="J621" i="1" s="1"/>
  <c r="C38" i="10"/>
  <c r="J638" i="1" l="1"/>
  <c r="H638" i="1"/>
  <c r="J474" i="1"/>
  <c r="H470" i="1"/>
  <c r="H629" i="1"/>
  <c r="J629" i="1" s="1"/>
  <c r="H631" i="1"/>
  <c r="J631" i="1" s="1"/>
  <c r="H637" i="1"/>
  <c r="J637" i="1" s="1"/>
  <c r="J470" i="1"/>
  <c r="J476" i="1" s="1"/>
  <c r="H626" i="1" s="1"/>
  <c r="J626" i="1" s="1"/>
  <c r="G628" i="1"/>
  <c r="G468" i="1"/>
  <c r="G622" i="1"/>
  <c r="F52" i="1"/>
  <c r="H617" i="1" s="1"/>
  <c r="J617" i="1" s="1"/>
  <c r="F667" i="1"/>
  <c r="F470" i="1"/>
  <c r="H627" i="1"/>
  <c r="J627" i="1" s="1"/>
  <c r="D18" i="10"/>
  <c r="D27" i="10"/>
  <c r="D17" i="10"/>
  <c r="D24" i="10"/>
  <c r="D20" i="10"/>
  <c r="D25" i="10"/>
  <c r="H672" i="1"/>
  <c r="C6" i="10" s="1"/>
  <c r="H667" i="1"/>
  <c r="D12" i="10"/>
  <c r="D15" i="10"/>
  <c r="D19" i="10"/>
  <c r="D13" i="10"/>
  <c r="D11" i="10"/>
  <c r="D21" i="10"/>
  <c r="D22" i="10"/>
  <c r="H632" i="1"/>
  <c r="J632" i="1" s="1"/>
  <c r="F474" i="1"/>
  <c r="D10" i="10"/>
  <c r="D26" i="10"/>
  <c r="C30" i="10"/>
  <c r="D16" i="10"/>
  <c r="H633" i="1"/>
  <c r="J633" i="1" s="1"/>
  <c r="H474" i="1"/>
  <c r="I667" i="1"/>
  <c r="C41" i="10"/>
  <c r="D38" i="10" s="1"/>
  <c r="H476" i="1" l="1"/>
  <c r="H624" i="1" s="1"/>
  <c r="J624" i="1" s="1"/>
  <c r="G470" i="1"/>
  <c r="G476" i="1" s="1"/>
  <c r="H623" i="1" s="1"/>
  <c r="J623" i="1" s="1"/>
  <c r="H628" i="1"/>
  <c r="J628" i="1" s="1"/>
  <c r="F476" i="1"/>
  <c r="H622" i="1" s="1"/>
  <c r="J622" i="1" s="1"/>
  <c r="D28" i="10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<sst xmlns="http://schemas.openxmlformats.org/spreadsheetml/2006/main" count="3958" uniqueCount="916">
  <si>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</si>
  <si>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</si>
  <si>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</si>
  <si>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</si>
  <si>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</si>
  <si>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</si>
  <si>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</si>
  <si>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</si>
  <si>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</si>
  <si>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</si>
  <si>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</si>
  <si>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</si>
  <si>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</si>
  <si>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</si>
  <si>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</si>
  <si>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</si>
  <si>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</si>
  <si>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</si>
  <si>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</si>
  <si>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</si>
  <si>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</si>
  <si>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</si>
  <si>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</si>
  <si>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</si>
  <si>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</si>
  <si>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</si>
  <si>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</si>
  <si>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</si>
  <si>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</si>
  <si>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</si>
  <si>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</si>
  <si>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</si>
  <si>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</si>
  <si>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</si>
  <si>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</si>
  <si>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</si>
  <si>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</si>
  <si>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</si>
  <si>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</si>
  <si>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</si>
  <si>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</si>
  <si>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</si>
  <si>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</si>
  <si>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</si>
  <si>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</si>
  <si>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</si>
  <si>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</si>
  <si>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</si>
  <si>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</si>
  <si>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</si>
  <si>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</si>
  <si>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</si>
  <si>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</si>
  <si>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</si>
  <si>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</si>
  <si>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</si>
  <si>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</si>
  <si>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</si>
  <si>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</si>
  <si>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</si>
  <si>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</si>
  <si>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</si>
  <si>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</si>
  <si>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</si>
  <si>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</si>
  <si>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</si>
  <si>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</si>
  <si>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</si>
  <si>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</si>
  <si>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</si>
  <si>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</si>
  <si>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</si>
  <si>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</si>
  <si>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</si>
  <si>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</si>
  <si>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</si>
  <si>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</si>
  <si>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</si>
  <si>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</si>
  <si>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</si>
  <si>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</si>
  <si>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</si>
  <si>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</si>
  <si>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</si>
  <si>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</si>
  <si>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</si>
  <si>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</si>
  <si>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</si>
  <si>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</si>
  <si>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</si>
  <si>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</si>
  <si>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</si>
  <si>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</si>
  <si>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</si>
  <si>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</si>
  <si>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</si>
  <si>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</si>
  <si>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</si>
  <si>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</si>
  <si>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</si>
  <si>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</si>
  <si>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</si>
  <si>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</si>
  <si>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</si>
  <si>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</si>
  <si>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</si>
  <si>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</si>
  <si>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</si>
  <si>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</si>
  <si>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</si>
  <si>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</si>
  <si>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</si>
  <si>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</si>
  <si>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</si>
  <si>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</si>
  <si>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</si>
  <si>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</si>
  <si>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</si>
  <si>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</si>
  <si>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</si>
  <si>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</si>
  <si>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</si>
  <si>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</si>
  <si>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</si>
  <si>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</si>
  <si>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</si>
  <si>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</si>
  <si>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</si>
  <si>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</si>
  <si>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</si>
  <si>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</si>
  <si>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</si>
  <si>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</si>
  <si>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</si>
  <si>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</si>
  <si>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</si>
  <si>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</si>
  <si>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</si>
  <si>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</si>
  <si>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</si>
  <si>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</si>
  <si>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</si>
  <si>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</si>
  <si>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</si>
  <si>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</si>
  <si>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</si>
  <si>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</si>
  <si>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</si>
  <si>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</si>
  <si>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</si>
  <si>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</si>
  <si>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</si>
  <si>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</si>
  <si>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</si>
  <si>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</si>
  <si>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</si>
  <si>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</si>
  <si>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</si>
  <si>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</si>
  <si>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</si>
  <si>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</si>
  <si>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</si>
  <si>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</si>
  <si>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</si>
  <si>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</si>
  <si>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</si>
  <si>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</si>
  <si>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</si>
  <si>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</si>
  <si>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</si>
  <si>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</si>
  <si>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</si>
  <si>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</si>
  <si>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</si>
  <si>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</si>
  <si>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</si>
  <si>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</si>
  <si>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</si>
  <si>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</si>
  <si>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</si>
  <si>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</si>
  <si>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</si>
  <si>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</si>
  <si>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</si>
  <si>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</si>
  <si>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</si>
  <si>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</si>
  <si>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</si>
  <si>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</si>
  <si>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</si>
  <si>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</si>
  <si>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</si>
  <si>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</si>
  <si>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</si>
  <si>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</si>
  <si>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</si>
  <si>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</si>
  <si>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</si>
  <si>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</si>
  <si>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</si>
  <si>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</si>
  <si>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</si>
  <si>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</si>
  <si>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</si>
  <si>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</si>
  <si>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</si>
  <si>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</si>
  <si>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</si>
  <si>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</si>
  <si>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</si>
  <si>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</si>
  <si>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</si>
  <si>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</si>
  <si>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</si>
  <si>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</si>
  <si>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</si>
  <si>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</si>
  <si>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</si>
  <si>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</si>
  <si>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</si>
  <si>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</si>
  <si>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</si>
  <si>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</si>
  <si>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</si>
  <si>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</si>
  <si>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</si>
  <si>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</si>
  <si>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</si>
  <si>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</si>
  <si>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</si>
  <si>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</si>
  <si>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</si>
  <si>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</si>
  <si>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</si>
  <si>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</si>
  <si>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</si>
  <si>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</si>
  <si>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</si>
  <si>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</si>
  <si>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</si>
  <si>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</si>
  <si>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</si>
  <si>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</si>
  <si>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</si>
  <si>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</si>
  <si>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</si>
  <si>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</si>
  <si>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</si>
  <si>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</si>
  <si>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</si>
  <si>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</si>
  <si>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</si>
  <si>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</si>
  <si>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</si>
  <si>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</si>
  <si>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</si>
  <si>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</si>
  <si>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</si>
  <si>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</si>
  <si>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</si>
  <si>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</si>
  <si>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</si>
  <si>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</si>
  <si>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</si>
  <si>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</si>
  <si>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</si>
  <si>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</si>
  <si>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</si>
  <si>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</si>
  <si>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</si>
  <si>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</si>
  <si>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</si>
  <si>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</si>
  <si>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</si>
  <si>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</si>
  <si>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</si>
  <si>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</si>
  <si>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</si>
  <si>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</si>
  <si>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</si>
  <si>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</si>
  <si>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</si>
  <si>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</si>
  <si>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</si>
  <si>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</si>
  <si>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</si>
  <si>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</si>
  <si>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</si>
  <si>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</si>
  <si>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</si>
  <si>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</si>
  <si>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</si>
  <si>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</si>
  <si>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</si>
  <si>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</si>
  <si>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</si>
  <si>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</si>
  <si>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</si>
  <si>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</si>
  <si>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</si>
  <si>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</si>
  <si>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</si>
  <si>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</si>
  <si>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</si>
  <si>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</si>
  <si>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</si>
  <si>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</si>
  <si>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</si>
  <si>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</si>
  <si>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</si>
  <si>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</si>
  <si>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</si>
  <si>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</si>
  <si>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</si>
  <si>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</si>
  <si>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</si>
  <si>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</si>
  <si>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</si>
  <si>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</si>
  <si>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</si>
  <si>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</si>
  <si>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</si>
  <si>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</si>
  <si>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</si>
  <si>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</si>
  <si>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</si>
  <si>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</si>
  <si>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</si>
  <si>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</si>
  <si>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</si>
  <si>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</si>
  <si>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</si>
  <si>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</si>
  <si>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</si>
  <si>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</si>
  <si>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</si>
  <si>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</si>
  <si>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</si>
  <si>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</si>
  <si>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</si>
  <si>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</si>
  <si>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</si>
  <si>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</si>
  <si>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</si>
  <si>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</si>
  <si>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</si>
  <si>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</si>
  <si>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</si>
  <si>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</si>
  <si>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</si>
  <si>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</si>
  <si>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</si>
  <si>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</si>
  <si>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</si>
  <si>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</si>
  <si>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</si>
  <si>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</si>
  <si>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</si>
  <si>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</si>
  <si>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</si>
  <si>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</si>
  <si>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</si>
  <si>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</si>
  <si>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</si>
  <si>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</si>
  <si>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</si>
  <si>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</si>
  <si>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</si>
  <si>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</si>
  <si>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</si>
  <si>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</si>
  <si>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</si>
  <si>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</si>
  <si>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</si>
  <si>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</si>
  <si>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</si>
  <si>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</si>
  <si>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</si>
  <si>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</si>
  <si>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</si>
  <si>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</si>
  <si>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</si>
  <si>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</si>
  <si>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</si>
  <si>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</si>
  <si>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</si>
  <si>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</si>
  <si>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</si>
  <si>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</si>
  <si>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</si>
  <si>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</si>
  <si>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</si>
  <si>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</si>
  <si>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</si>
  <si>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</si>
  <si>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</si>
  <si>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</si>
  <si>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</si>
  <si>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</si>
  <si>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</si>
  <si>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</si>
  <si>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</si>
  <si>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</si>
  <si>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</si>
  <si>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</si>
  <si>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</si>
  <si>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</si>
  <si>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</si>
  <si>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</si>
  <si>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</si>
  <si>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</si>
  <si>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</si>
  <si>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</si>
  <si>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</si>
  <si>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</si>
  <si>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</si>
  <si>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</si>
  <si>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</si>
  <si>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</si>
  <si>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</si>
  <si>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</si>
  <si>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</si>
  <si>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</si>
  <si>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</si>
  <si>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</si>
  <si>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</si>
  <si>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</si>
  <si>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</si>
  <si>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</si>
  <si>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</si>
  <si>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</si>
  <si>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</si>
  <si>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</si>
  <si>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</si>
  <si>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</si>
  <si>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</si>
  <si>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</si>
  <si>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</si>
  <si>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</si>
  <si>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</si>
  <si>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</si>
  <si>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</si>
  <si>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</si>
  <si>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</si>
  <si>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</si>
  <si>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</si>
  <si>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</si>
  <si>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</si>
  <si>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</si>
  <si>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</si>
  <si>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</si>
  <si>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</si>
  <si>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</si>
  <si>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</si>
  <si>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</si>
  <si>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</si>
  <si>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</si>
  <si>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</si>
  <si>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</si>
  <si>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</si>
  <si>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</si>
  <si>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</si>
  <si>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</si>
  <si>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</si>
  <si>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</si>
  <si>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</si>
  <si>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</si>
  <si>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</si>
  <si>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</si>
  <si>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</si>
  <si>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</si>
  <si>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</si>
  <si>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</si>
  <si>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</si>
  <si>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</si>
  <si>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</si>
  <si>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</si>
  <si>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</si>
  <si>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</si>
  <si>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</si>
  <si>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</si>
  <si>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</si>
  <si>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</si>
  <si>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</si>
  <si>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</si>
  <si>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</si>
  <si>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</si>
  <si>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</si>
  <si>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</si>
  <si>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</si>
  <si>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</si>
  <si>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</si>
  <si>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</si>
  <si>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</si>
  <si>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</si>
  <si>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</si>
  <si>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</si>
  <si>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</si>
  <si>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</si>
  <si>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</si>
  <si>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</si>
  <si>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</si>
  <si>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</si>
  <si>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</si>
  <si>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</si>
  <si>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</si>
  <si>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</si>
  <si>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</si>
  <si>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</si>
  <si>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</si>
  <si>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</si>
  <si>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</si>
  <si>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</si>
  <si>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</si>
  <si>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</si>
  <si>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</si>
  <si>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</si>
  <si>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</si>
  <si>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</si>
  <si>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</si>
  <si>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</si>
  <si>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</si>
  <si>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</si>
  <si>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</si>
  <si>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</si>
  <si>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</si>
  <si>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</si>
  <si>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</si>
  <si>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</si>
  <si>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</si>
  <si>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</si>
  <si>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</si>
  <si>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</si>
  <si>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</si>
  <si>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</si>
  <si>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</si>
  <si>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</si>
  <si>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</si>
  <si>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</si>
  <si>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</si>
  <si>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</si>
  <si>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</si>
  <si>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</si>
  <si>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</si>
  <si>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</si>
  <si>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</si>
  <si>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</si>
  <si>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</si>
  <si>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</si>
  <si>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</si>
  <si>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</si>
  <si>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</si>
  <si>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</si>
  <si>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</si>
  <si>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</si>
  <si>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</si>
  <si>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</si>
  <si>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</si>
  <si>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</si>
  <si>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</si>
  <si>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</si>
  <si>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</si>
  <si>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</si>
  <si>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</si>
  <si>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</si>
  <si>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</si>
  <si>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</si>
  <si>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</si>
  <si>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</si>
  <si>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</si>
  <si>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</si>
  <si>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</si>
  <si>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</si>
  <si>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</si>
  <si>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</si>
  <si>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</si>
  <si>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</si>
  <si>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</si>
  <si>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</si>
  <si>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</si>
  <si>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</si>
  <si>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</si>
  <si>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</si>
  <si>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</si>
  <si>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</si>
  <si>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</si>
  <si>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</si>
  <si>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</si>
  <si>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</si>
  <si>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</si>
  <si>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</si>
  <si>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</si>
  <si>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</si>
  <si>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</si>
  <si>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</si>
  <si>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</si>
  <si>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</si>
  <si>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</si>
  <si>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</si>
  <si>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</si>
  <si>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</si>
  <si>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</si>
  <si>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</si>
  <si>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</si>
  <si>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</si>
  <si>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</si>
  <si>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</si>
  <si>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</si>
  <si>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</si>
  <si>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</si>
  <si>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</si>
  <si>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</si>
  <si>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</si>
  <si>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</si>
  <si>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</si>
  <si>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</si>
  <si>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</si>
  <si>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</si>
  <si>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</si>
  <si>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</si>
  <si>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</si>
  <si>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</si>
  <si>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</si>
  <si>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</si>
  <si>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</si>
  <si>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</si>
  <si>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</si>
  <si>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</si>
  <si>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</si>
  <si>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</si>
  <si>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</si>
  <si>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</si>
  <si>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</si>
  <si>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</si>
  <si>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</si>
  <si>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</si>
  <si>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</si>
  <si>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</si>
  <si>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</si>
  <si>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</si>
  <si>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</si>
  <si>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</si>
  <si>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</si>
  <si>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</si>
  <si>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</si>
  <si>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</si>
  <si>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</si>
  <si>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</si>
  <si>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</si>
  <si>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</si>
  <si>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</si>
  <si>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</si>
  <si>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</si>
  <si>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</si>
  <si>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</si>
  <si>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</si>
  <si>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</si>
  <si>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</si>
  <si>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</si>
  <si>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</si>
  <si>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</si>
  <si>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</si>
  <si>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</si>
  <si>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</si>
  <si>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</si>
  <si>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</si>
  <si>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</si>
  <si>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</si>
  <si>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</si>
  <si>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</si>
  <si>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</si>
  <si>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</si>
  <si>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</si>
  <si>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</si>
  <si>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</si>
  <si>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</si>
  <si>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</si>
  <si>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</si>
  <si>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</si>
  <si>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</si>
  <si>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</si>
  <si>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</si>
  <si>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</si>
  <si>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</si>
  <si>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</si>
  <si>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</si>
  <si>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</si>
  <si>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</si>
  <si>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</si>
  <si>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</si>
  <si>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</si>
  <si>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</si>
  <si>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</si>
  <si>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</si>
  <si>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</si>
  <si>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</si>
  <si>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</si>
  <si>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</si>
  <si>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</si>
  <si>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</si>
  <si>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</si>
  <si>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</si>
  <si>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</si>
  <si>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</si>
  <si>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</si>
  <si>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</si>
  <si>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</si>
  <si>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</si>
  <si>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</si>
  <si>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</si>
  <si>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</si>
  <si>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</si>
  <si>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</si>
  <si>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</si>
  <si>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</si>
  <si>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</si>
  <si>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</si>
  <si>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</si>
  <si>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</si>
  <si>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</si>
  <si>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</si>
  <si>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</si>
  <si>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</si>
  <si>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</si>
  <si>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</si>
  <si>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</si>
  <si>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</si>
  <si>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</si>
  <si>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</si>
  <si>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</si>
  <si>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</si>
  <si>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</si>
  <si>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</si>
  <si>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</si>
  <si>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</si>
  <si>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</si>
  <si>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</si>
  <si>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</si>
  <si>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</si>
  <si>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</si>
  <si>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</si>
  <si>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</si>
  <si>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</si>
  <si>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</si>
  <si>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</si>
  <si>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</si>
  <si>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</si>
  <si>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</si>
  <si>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</si>
  <si>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</si>
  <si>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</si>
  <si>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</si>
  <si>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</si>
  <si>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</si>
  <si>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</si>
  <si>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</si>
  <si>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</si>
  <si>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</si>
  <si>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</si>
  <si>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</si>
  <si>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</si>
  <si>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</si>
  <si>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</si>
  <si>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</si>
  <si>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</si>
  <si>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</si>
  <si>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</si>
  <si>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</si>
  <si>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</si>
  <si>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</si>
  <si>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</si>
  <si>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</si>
  <si>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</si>
  <si>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</si>
  <si>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</si>
  <si>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</si>
  <si>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</si>
  <si>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</si>
  <si>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</si>
  <si>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</si>
  <si>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</si>
  <si>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</si>
  <si>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</si>
  <si>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</si>
  <si>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</si>
  <si>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</si>
  <si>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</si>
  <si>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</si>
  <si>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</si>
  <si>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</si>
  <si>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</si>
  <si>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</si>
  <si>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</si>
  <si>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</si>
  <si>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</si>
  <si>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</si>
  <si>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</si>
  <si>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</si>
  <si>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</si>
  <si>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</si>
  <si>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</si>
  <si>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</si>
  <si>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</si>
  <si>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</si>
  <si>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</si>
  <si>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</si>
  <si>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</si>
  <si>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</si>
  <si>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</si>
  <si>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</si>
  <si>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</si>
  <si>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</si>
  <si>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</si>
  <si>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</si>
  <si>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</si>
  <si>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</si>
  <si>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</si>
  <si>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</si>
  <si>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</si>
  <si>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</si>
  <si>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</si>
  <si>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</si>
  <si>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</si>
  <si>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</si>
  <si>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</si>
  <si>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</si>
  <si>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</si>
  <si>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</si>
  <si>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</si>
  <si>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</si>
  <si>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</si>
  <si>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</si>
  <si>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</si>
  <si>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</si>
  <si>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</si>
  <si>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</si>
  <si>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</si>
  <si>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</si>
  <si>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</si>
  <si>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</si>
  <si>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</si>
  <si>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</si>
  <si>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</si>
  <si>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</si>
  <si>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</si>
  <si>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</si>
  <si>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</si>
  <si>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</si>
  <si>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</si>
  <si>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</si>
  <si>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</si>
  <si>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</si>
  <si>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</si>
  <si>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</si>
  <si>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</si>
  <si>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</si>
  <si>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</si>
  <si>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</si>
  <si>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</si>
  <si>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</si>
  <si>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</si>
  <si>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</si>
  <si>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</si>
  <si>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</si>
  <si>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</si>
  <si>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</si>
  <si>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</si>
  <si>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</si>
  <si>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</si>
  <si>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</si>
  <si>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</si>
  <si>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</si>
  <si>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</si>
  <si>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</si>
  <si>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</si>
  <si>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</si>
  <si>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</si>
  <si>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</si>
  <si>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</si>
  <si>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</si>
  <si>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</si>
  <si>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</si>
  <si>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</si>
  <si>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</si>
  <si>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</si>
  <si>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</si>
  <si>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</si>
  <si>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</si>
  <si>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</si>
  <si>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</si>
  <si>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</si>
  <si>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</si>
  <si>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</si>
  <si>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</si>
  <si>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</si>
  <si>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</si>
  <si>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</si>
  <si>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</si>
  <si>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</si>
  <si>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</si>
  <si>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</si>
  <si>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</si>
  <si>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</si>
  <si>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</si>
  <si>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</si>
  <si>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</si>
  <si>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</si>
  <si>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</si>
  <si>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</si>
  <si>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</si>
  <si>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</si>
  <si>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Plainfield School District</t>
  </si>
  <si>
    <t>12/10</t>
  </si>
  <si>
    <t>07/12</t>
  </si>
  <si>
    <t>01/21</t>
  </si>
  <si>
    <t>08/22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</si>
</sst>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8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1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441</v>
      </c>
      <c r="C2" s="21">
        <v>441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73663.93+100+680.51+966.29</f>
        <v>75410.729999999981</v>
      </c>
      <c r="G9" s="18"/>
      <c r="H9" s="18"/>
      <c r="I9" s="18"/>
      <c r="J9" s="67">
        <f>SUM(I439)</f>
        <v>371920.3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170962.75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21214.19</v>
      </c>
      <c r="G12" s="18">
        <f>6236.54-4816.45</f>
        <v>1420.0900000000001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f>926.66</f>
        <v>926.66</v>
      </c>
      <c r="H13" s="18">
        <f>3373.93+2500+5792.74+10216.69+750.52</f>
        <v>22633.88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12038.41</f>
        <v>12038.41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279626.07999999996</v>
      </c>
      <c r="G19" s="41">
        <f>SUM(G9:G18)</f>
        <v>2346.75</v>
      </c>
      <c r="H19" s="41">
        <f>SUM(H9:H18)</f>
        <v>22633.88</v>
      </c>
      <c r="I19" s="41">
        <f>SUM(I9:I18)</f>
        <v>0</v>
      </c>
      <c r="J19" s="41">
        <f>SUM(J9:J18)</f>
        <v>371920.3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3373.93+2500+5792.74+10216.69+750.52</f>
        <v>22633.88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23094.91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0.32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23095.23</v>
      </c>
      <c r="G32" s="41">
        <f>SUM(G22:G31)</f>
        <v>0</v>
      </c>
      <c r="H32" s="41">
        <f>SUM(H22:H31)</f>
        <v>22633.88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G19</f>
        <v>2346.75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f>H19-H32</f>
        <v>0</v>
      </c>
      <c r="I48" s="18"/>
      <c r="J48" s="13">
        <f>SUM(I459)</f>
        <v>371920.3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40714.65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F19-F32-F45-F49</f>
        <v>215816.19999999995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256530.84999999995</v>
      </c>
      <c r="G51" s="41">
        <f>SUM(G35:G50)</f>
        <v>2346.75</v>
      </c>
      <c r="H51" s="41">
        <f>SUM(H35:H50)</f>
        <v>0</v>
      </c>
      <c r="I51" s="41">
        <f>SUM(I35:I50)</f>
        <v>0</v>
      </c>
      <c r="J51" s="41">
        <f>SUM(J35:J50)</f>
        <v>371920.3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279626.07999999996</v>
      </c>
      <c r="G52" s="41">
        <f>G51+G32</f>
        <v>2346.75</v>
      </c>
      <c r="H52" s="41">
        <f>H51+H32</f>
        <v>22633.88</v>
      </c>
      <c r="I52" s="41">
        <f>I51+I32</f>
        <v>0</v>
      </c>
      <c r="J52" s="41">
        <f>J51+J32</f>
        <v>371920.3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4252259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4252259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f>2.42+10.62+55.11+0.37+0.24+1.17+1.54+2.34+1.42+1.63+0.84+0.12+1.8+1.07+1.49</f>
        <v>82.18</v>
      </c>
      <c r="G96" s="18"/>
      <c r="H96" s="18"/>
      <c r="I96" s="18"/>
      <c r="J96" s="18">
        <f>60.36+828.17+140.64+186.15</f>
        <v>1215.3200000000002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29668.4</f>
        <v>29668.400000000001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25326.68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25408.86</v>
      </c>
      <c r="G111" s="41">
        <f>SUM(G96:G110)</f>
        <v>29668.400000000001</v>
      </c>
      <c r="H111" s="41">
        <f>SUM(H96:H110)</f>
        <v>0</v>
      </c>
      <c r="I111" s="41">
        <f>SUM(I96:I110)</f>
        <v>0</v>
      </c>
      <c r="J111" s="41">
        <f>SUM(J96:J110)</f>
        <v>1215.3200000000002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4277667.8600000003</v>
      </c>
      <c r="G112" s="41">
        <f>G60+G111</f>
        <v>29668.400000000001</v>
      </c>
      <c r="H112" s="41">
        <f>H60+H79+H94+H111</f>
        <v>0</v>
      </c>
      <c r="I112" s="41">
        <f>I60+I111</f>
        <v>0</v>
      </c>
      <c r="J112" s="41">
        <f>J60+J111</f>
        <v>1215.3200000000002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669467.6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663165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1332632.6000000001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f>13834.44</f>
        <v>13834.44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11471.31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696.46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25305.75</v>
      </c>
      <c r="G136" s="41">
        <f>SUM(G123:G135)</f>
        <v>696.46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1357938.35</v>
      </c>
      <c r="G140" s="41">
        <f>G121+SUM(G136:G137)</f>
        <v>696.46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3373.93</f>
        <v>3373.93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2500+21515.94</f>
        <v>24015.94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10491.92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47025.47+2590.52</f>
        <v>49615.99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f>39598.14</f>
        <v>39598.14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39598.14</v>
      </c>
      <c r="G162" s="41">
        <f>SUM(G150:G161)</f>
        <v>10491.92</v>
      </c>
      <c r="H162" s="41">
        <f>SUM(H150:H161)</f>
        <v>77005.86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39598.14</v>
      </c>
      <c r="G169" s="41">
        <f>G147+G162+SUM(G163:G168)</f>
        <v>10491.92</v>
      </c>
      <c r="H169" s="41">
        <f>H147+H162+SUM(H163:H168)</f>
        <v>77005.86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f>23339.83-4816.45</f>
        <v>18523.38</v>
      </c>
      <c r="H179" s="18"/>
      <c r="I179" s="18"/>
      <c r="J179" s="18">
        <v>40000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1200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1200</v>
      </c>
      <c r="G183" s="41">
        <f>SUM(G179:G182)</f>
        <v>18523.38</v>
      </c>
      <c r="H183" s="41">
        <f>SUM(H179:H182)</f>
        <v>0</v>
      </c>
      <c r="I183" s="41">
        <f>SUM(I179:I182)</f>
        <v>0</v>
      </c>
      <c r="J183" s="41">
        <f>SUM(J179:J182)</f>
        <v>40000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1200</v>
      </c>
      <c r="G192" s="41">
        <f>G183+SUM(G188:G191)</f>
        <v>18523.38</v>
      </c>
      <c r="H192" s="41">
        <f>+H183+SUM(H188:H191)</f>
        <v>0</v>
      </c>
      <c r="I192" s="41">
        <f>I177+I183+SUM(I188:I191)</f>
        <v>0</v>
      </c>
      <c r="J192" s="41">
        <f>J183</f>
        <v>40000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5676404.3500000006</v>
      </c>
      <c r="G193" s="47">
        <f>G112+G140+G169+G192</f>
        <v>59380.160000000003</v>
      </c>
      <c r="H193" s="47">
        <f>H112+H140+H169+H192</f>
        <v>77005.86</v>
      </c>
      <c r="I193" s="47">
        <f>I112+I140+I169+I192</f>
        <v>0</v>
      </c>
      <c r="J193" s="47">
        <f>J112+J140+J192</f>
        <v>41215.32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1254740+22873.68+15088.5+23738.85</f>
        <v>1316441.03</v>
      </c>
      <c r="G197" s="18">
        <f>223545.4+41053.02+1682.8+97785.23+166948.8+9368.84+199539.8+9205.74-100674.72</f>
        <v>648454.90999999992</v>
      </c>
      <c r="H197" s="18">
        <f>16899.27-110-932</f>
        <v>15857.27</v>
      </c>
      <c r="I197" s="18">
        <f>34059.74-200.8-0.99-966.29</f>
        <v>32891.659999999996</v>
      </c>
      <c r="J197" s="18">
        <v>3094.02</v>
      </c>
      <c r="K197" s="18">
        <v>11130.62</v>
      </c>
      <c r="L197" s="19">
        <f>SUM(F197:K197)</f>
        <v>2027869.51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263720.1+256138.6+8859.89+11719.37</f>
        <v>540437.96</v>
      </c>
      <c r="G198" s="18">
        <f>272040.2-101804.14</f>
        <v>170236.06</v>
      </c>
      <c r="H198" s="18">
        <f>67216.1+6621.19+1733.18+78842+873.38-1476.67-200</f>
        <v>153609.18</v>
      </c>
      <c r="I198" s="18">
        <f>3970.55-2274.7-193.1-299.99</f>
        <v>1202.7600000000004</v>
      </c>
      <c r="J198" s="18">
        <f>247.88</f>
        <v>247.88</v>
      </c>
      <c r="K198" s="18">
        <f>2031</f>
        <v>2031</v>
      </c>
      <c r="L198" s="19">
        <f>SUM(F198:K198)</f>
        <v>867764.84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14740+10930</f>
        <v>25670</v>
      </c>
      <c r="G200" s="18">
        <f>3820.66</f>
        <v>3820.66</v>
      </c>
      <c r="H200" s="18"/>
      <c r="I200" s="18">
        <f>4497.47</f>
        <v>4497.47</v>
      </c>
      <c r="J200" s="18"/>
      <c r="K200" s="18">
        <f>1485</f>
        <v>1485</v>
      </c>
      <c r="L200" s="19">
        <f>SUM(F200:K200)</f>
        <v>35473.129999999997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75229.06+64113.49</f>
        <v>139342.54999999999</v>
      </c>
      <c r="G202" s="18">
        <f>14905.8+16182.55+36218.92-14675.55</f>
        <v>52631.719999999987</v>
      </c>
      <c r="H202" s="18">
        <f>2918+120277.5</f>
        <v>123195.5</v>
      </c>
      <c r="I202" s="18">
        <f>1576.7+654.2+1246.49</f>
        <v>3477.3900000000003</v>
      </c>
      <c r="J202" s="18">
        <f>8634.76</f>
        <v>8634.76</v>
      </c>
      <c r="K202" s="18">
        <v>129</v>
      </c>
      <c r="L202" s="19">
        <f t="shared" ref="L202:L208" si="0">SUM(F202:K202)</f>
        <v>327410.92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500+2160+417.56+37888.56+19108.86</f>
        <v>60074.979999999996</v>
      </c>
      <c r="G203" s="18">
        <f>547.4+26252.46-730.53</f>
        <v>26069.33</v>
      </c>
      <c r="H203" s="18">
        <f>17753.46+280.5+1525</f>
        <v>19558.96</v>
      </c>
      <c r="I203" s="18">
        <f>1771.31+7465.38</f>
        <v>9236.69</v>
      </c>
      <c r="J203" s="18">
        <f>841.18</f>
        <v>841.18</v>
      </c>
      <c r="K203" s="18">
        <v>393.59</v>
      </c>
      <c r="L203" s="19">
        <f t="shared" si="0"/>
        <v>116174.72999999998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3625+162050.6+1975</f>
        <v>167650.6</v>
      </c>
      <c r="G204" s="18">
        <f>29094.56-4300.44</f>
        <v>24794.120000000003</v>
      </c>
      <c r="H204" s="18">
        <f>19994.75+3218.72+12512.05+4271.11-4202.5-275.41</f>
        <v>35518.720000000001</v>
      </c>
      <c r="I204" s="18">
        <f>933.93+2245.06</f>
        <v>3178.99</v>
      </c>
      <c r="J204" s="18"/>
      <c r="K204" s="18">
        <f>3161.18+1361.17+4938.06+218.5</f>
        <v>9678.91</v>
      </c>
      <c r="L204" s="19">
        <f t="shared" si="0"/>
        <v>240821.34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86715+63198</f>
        <v>149913</v>
      </c>
      <c r="G205" s="18">
        <f>65851.89-22595.29</f>
        <v>43256.6</v>
      </c>
      <c r="H205" s="18">
        <f>9137.1+7407.91+798.18</f>
        <v>17343.190000000002</v>
      </c>
      <c r="I205" s="18">
        <f>1558.39</f>
        <v>1558.39</v>
      </c>
      <c r="J205" s="18">
        <f>4037.4</f>
        <v>4037.4</v>
      </c>
      <c r="K205" s="18">
        <f>1163</f>
        <v>1163</v>
      </c>
      <c r="L205" s="19">
        <f t="shared" si="0"/>
        <v>217271.58000000002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88677.39</f>
        <v>88677.39</v>
      </c>
      <c r="G207" s="18">
        <f>23258.31</f>
        <v>23258.31</v>
      </c>
      <c r="H207" s="18">
        <f>49099.82+45717.5+11938+29.12+4476.5-1500</f>
        <v>109760.94</v>
      </c>
      <c r="I207" s="18">
        <f>50766.07-6000-300</f>
        <v>44466.07</v>
      </c>
      <c r="J207" s="18">
        <f>9110.21</f>
        <v>9110.2099999999991</v>
      </c>
      <c r="K207" s="18">
        <v>450</v>
      </c>
      <c r="L207" s="19">
        <f t="shared" si="0"/>
        <v>275722.92000000004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30253.8+6273.54+3193.95+169687-44866.39+10928.99</f>
        <v>175470.88999999996</v>
      </c>
      <c r="I208" s="18"/>
      <c r="J208" s="18"/>
      <c r="K208" s="18"/>
      <c r="L208" s="19">
        <f t="shared" si="0"/>
        <v>175470.88999999996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2488207.5100000002</v>
      </c>
      <c r="G211" s="41">
        <f t="shared" si="1"/>
        <v>992521.71</v>
      </c>
      <c r="H211" s="41">
        <f t="shared" si="1"/>
        <v>650314.64999999991</v>
      </c>
      <c r="I211" s="41">
        <f t="shared" si="1"/>
        <v>100509.42</v>
      </c>
      <c r="J211" s="41">
        <f t="shared" si="1"/>
        <v>25965.45</v>
      </c>
      <c r="K211" s="41">
        <f t="shared" si="1"/>
        <v>26461.120000000003</v>
      </c>
      <c r="L211" s="41">
        <f t="shared" si="1"/>
        <v>4283979.8599999994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1110733+38934+2565.12</f>
        <v>1152232.1200000001</v>
      </c>
      <c r="I233" s="18"/>
      <c r="J233" s="18"/>
      <c r="K233" s="18"/>
      <c r="L233" s="19">
        <f>SUM(F233:K233)</f>
        <v>1152232.1200000001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5751.2+44866.39-10928.99</f>
        <v>39688.6</v>
      </c>
      <c r="I244" s="18"/>
      <c r="J244" s="18"/>
      <c r="K244" s="18"/>
      <c r="L244" s="19">
        <f t="shared" si="4"/>
        <v>39688.6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1191920.7200000002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1191920.7200000002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2488207.5100000002</v>
      </c>
      <c r="G257" s="41">
        <f t="shared" si="8"/>
        <v>992521.71</v>
      </c>
      <c r="H257" s="41">
        <f t="shared" si="8"/>
        <v>1842235.37</v>
      </c>
      <c r="I257" s="41">
        <f t="shared" si="8"/>
        <v>100509.42</v>
      </c>
      <c r="J257" s="41">
        <f t="shared" si="8"/>
        <v>25965.45</v>
      </c>
      <c r="K257" s="41">
        <f t="shared" si="8"/>
        <v>26461.120000000003</v>
      </c>
      <c r="L257" s="41">
        <f t="shared" si="8"/>
        <v>5475900.5800000001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90814.58</v>
      </c>
      <c r="L260" s="19">
        <f>SUM(F260:K260)</f>
        <v>90814.58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f>17997.92</f>
        <v>17997.919999999998</v>
      </c>
      <c r="L261" s="19">
        <f>SUM(F261:K261)</f>
        <v>17997.919999999998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23339.83-4816.45</f>
        <v>18523.38</v>
      </c>
      <c r="L263" s="19">
        <f>SUM(F263:K263)</f>
        <v>18523.38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40000</v>
      </c>
      <c r="L266" s="19">
        <f t="shared" si="9"/>
        <v>40000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167335.88</v>
      </c>
      <c r="L270" s="41">
        <f t="shared" si="9"/>
        <v>167335.88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2488207.5100000002</v>
      </c>
      <c r="G271" s="42">
        <f t="shared" si="11"/>
        <v>992521.71</v>
      </c>
      <c r="H271" s="42">
        <f t="shared" si="11"/>
        <v>1842235.37</v>
      </c>
      <c r="I271" s="42">
        <f t="shared" si="11"/>
        <v>100509.42</v>
      </c>
      <c r="J271" s="42">
        <f t="shared" si="11"/>
        <v>25965.45</v>
      </c>
      <c r="K271" s="42">
        <f t="shared" si="11"/>
        <v>193797</v>
      </c>
      <c r="L271" s="42">
        <f t="shared" si="11"/>
        <v>5643236.46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3373.93+21515.94</f>
        <v>24889.87</v>
      </c>
      <c r="G276" s="18">
        <f>0</f>
        <v>0</v>
      </c>
      <c r="H276" s="18">
        <f>2500</f>
        <v>2500</v>
      </c>
      <c r="I276" s="18"/>
      <c r="J276" s="18"/>
      <c r="K276" s="18"/>
      <c r="L276" s="19">
        <f>SUM(F276:K276)</f>
        <v>27389.87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14200+1840</f>
        <v>16040</v>
      </c>
      <c r="G277" s="18"/>
      <c r="H277" s="18">
        <f>29266.28+1100+200.8</f>
        <v>30567.079999999998</v>
      </c>
      <c r="I277" s="18">
        <f>205.29+549.72</f>
        <v>755.01</v>
      </c>
      <c r="J277" s="18">
        <v>651.95000000000005</v>
      </c>
      <c r="K277" s="18"/>
      <c r="L277" s="19">
        <f>SUM(F277:K277)</f>
        <v>48014.04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f>1601.95</f>
        <v>1601.95</v>
      </c>
      <c r="I282" s="18"/>
      <c r="J282" s="18"/>
      <c r="K282" s="18"/>
      <c r="L282" s="19">
        <f t="shared" si="12"/>
        <v>1601.95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40929.869999999995</v>
      </c>
      <c r="G290" s="42">
        <f t="shared" si="13"/>
        <v>0</v>
      </c>
      <c r="H290" s="42">
        <f t="shared" si="13"/>
        <v>34669.03</v>
      </c>
      <c r="I290" s="42">
        <f t="shared" si="13"/>
        <v>755.01</v>
      </c>
      <c r="J290" s="42">
        <f t="shared" si="13"/>
        <v>651.95000000000005</v>
      </c>
      <c r="K290" s="42">
        <f t="shared" si="13"/>
        <v>0</v>
      </c>
      <c r="L290" s="41">
        <f t="shared" si="13"/>
        <v>77005.86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40929.869999999995</v>
      </c>
      <c r="G338" s="41">
        <f t="shared" si="20"/>
        <v>0</v>
      </c>
      <c r="H338" s="41">
        <f t="shared" si="20"/>
        <v>34669.03</v>
      </c>
      <c r="I338" s="41">
        <f t="shared" si="20"/>
        <v>755.01</v>
      </c>
      <c r="J338" s="41">
        <f t="shared" si="20"/>
        <v>651.95000000000005</v>
      </c>
      <c r="K338" s="41">
        <f t="shared" si="20"/>
        <v>0</v>
      </c>
      <c r="L338" s="41">
        <f t="shared" si="20"/>
        <v>77005.86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1200</v>
      </c>
      <c r="L344" s="19">
        <f t="shared" ref="L344:L350" si="21">SUM(F344:K344)</f>
        <v>1200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1200</v>
      </c>
      <c r="L351" s="41">
        <f>SUM(L341:L350)</f>
        <v>1200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40929.869999999995</v>
      </c>
      <c r="G352" s="41">
        <f>G338</f>
        <v>0</v>
      </c>
      <c r="H352" s="41">
        <f>H338</f>
        <v>34669.03</v>
      </c>
      <c r="I352" s="41">
        <f>I338</f>
        <v>755.01</v>
      </c>
      <c r="J352" s="41">
        <f>J338</f>
        <v>651.95000000000005</v>
      </c>
      <c r="K352" s="47">
        <f>K338+K351</f>
        <v>1200</v>
      </c>
      <c r="L352" s="41">
        <f>L338+L351</f>
        <v>78205.86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14629.3</f>
        <v>14629.3</v>
      </c>
      <c r="G358" s="18">
        <f>1119.23</f>
        <v>1119.23</v>
      </c>
      <c r="H358" s="18">
        <f>43990.14+8.79-4816.45</f>
        <v>39182.480000000003</v>
      </c>
      <c r="I358" s="18">
        <f>1409.83+3039.32</f>
        <v>4449.1499999999996</v>
      </c>
      <c r="J358" s="18"/>
      <c r="K358" s="18"/>
      <c r="L358" s="13">
        <f>SUM(F358:K358)</f>
        <v>59380.160000000003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14629.3</v>
      </c>
      <c r="G362" s="47">
        <f t="shared" si="22"/>
        <v>1119.23</v>
      </c>
      <c r="H362" s="47">
        <f t="shared" si="22"/>
        <v>39182.480000000003</v>
      </c>
      <c r="I362" s="47">
        <f t="shared" si="22"/>
        <v>4449.1499999999996</v>
      </c>
      <c r="J362" s="47">
        <f t="shared" si="22"/>
        <v>0</v>
      </c>
      <c r="K362" s="47">
        <f t="shared" si="22"/>
        <v>0</v>
      </c>
      <c r="L362" s="47">
        <f t="shared" si="22"/>
        <v>59380.160000000003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3039.32</v>
      </c>
      <c r="G367" s="18"/>
      <c r="H367" s="18"/>
      <c r="I367" s="56">
        <f>SUM(F367:H367)</f>
        <v>3039.32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I358-F367</f>
        <v>1409.8299999999995</v>
      </c>
      <c r="G368" s="63"/>
      <c r="H368" s="63"/>
      <c r="I368" s="56">
        <f>SUM(F368:H368)</f>
        <v>1409.8299999999995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4449.1499999999996</v>
      </c>
      <c r="G369" s="47">
        <f>SUM(G367:G368)</f>
        <v>0</v>
      </c>
      <c r="H369" s="47">
        <f>SUM(H367:H368)</f>
        <v>0</v>
      </c>
      <c r="I369" s="47">
        <f>SUM(I367:I368)</f>
        <v>4449.1499999999996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186.15</v>
      </c>
      <c r="I389" s="18">
        <v>0</v>
      </c>
      <c r="J389" s="24" t="s">
        <v>289</v>
      </c>
      <c r="K389" s="24" t="s">
        <v>289</v>
      </c>
      <c r="L389" s="56">
        <f t="shared" si="25"/>
        <v>186.15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>
        <v>60.36</v>
      </c>
      <c r="I390" s="18">
        <v>0</v>
      </c>
      <c r="J390" s="24" t="s">
        <v>289</v>
      </c>
      <c r="K390" s="24" t="s">
        <v>289</v>
      </c>
      <c r="L390" s="56">
        <f t="shared" si="25"/>
        <v>60.36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246.51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246.51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140.63999999999999</v>
      </c>
      <c r="I395" s="18">
        <v>0</v>
      </c>
      <c r="J395" s="24" t="s">
        <v>289</v>
      </c>
      <c r="K395" s="24" t="s">
        <v>289</v>
      </c>
      <c r="L395" s="56">
        <f t="shared" ref="L395:L400" si="26">SUM(F395:K395)</f>
        <v>140.63999999999999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>
        <v>0</v>
      </c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40000</v>
      </c>
      <c r="H397" s="18">
        <v>828.17</v>
      </c>
      <c r="I397" s="18">
        <v>0</v>
      </c>
      <c r="J397" s="24" t="s">
        <v>289</v>
      </c>
      <c r="K397" s="24" t="s">
        <v>289</v>
      </c>
      <c r="L397" s="56">
        <f t="shared" si="26"/>
        <v>40828.17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40000</v>
      </c>
      <c r="H401" s="47">
        <f>SUM(H395:H400)</f>
        <v>968.81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40968.81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40000</v>
      </c>
      <c r="H408" s="47">
        <f>H393+H401+H407</f>
        <v>1215.32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41215.32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f>65366.43+15128.27</f>
        <v>80494.7</v>
      </c>
      <c r="G439" s="18">
        <f>49868.39+241557.21</f>
        <v>291425.59999999998</v>
      </c>
      <c r="H439" s="18"/>
      <c r="I439" s="56">
        <f t="shared" ref="I439:I445" si="33">SUM(F439:H439)</f>
        <v>371920.3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80494.7</v>
      </c>
      <c r="G446" s="13">
        <f>SUM(G439:G445)</f>
        <v>291425.59999999998</v>
      </c>
      <c r="H446" s="13">
        <f>SUM(H439:H445)</f>
        <v>0</v>
      </c>
      <c r="I446" s="13">
        <f>SUM(I439:I445)</f>
        <v>371920.3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F446</f>
        <v>80494.7</v>
      </c>
      <c r="G459" s="18">
        <f>G446</f>
        <v>291425.59999999998</v>
      </c>
      <c r="H459" s="18"/>
      <c r="I459" s="56">
        <f t="shared" si="34"/>
        <v>371920.3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80494.7</v>
      </c>
      <c r="G460" s="83">
        <f>SUM(G454:G459)</f>
        <v>291425.59999999998</v>
      </c>
      <c r="H460" s="83">
        <f>SUM(H454:H459)</f>
        <v>0</v>
      </c>
      <c r="I460" s="83">
        <f>SUM(I454:I459)</f>
        <v>371920.3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80494.7</v>
      </c>
      <c r="G461" s="42">
        <f>G452+G460</f>
        <v>291425.59999999998</v>
      </c>
      <c r="H461" s="42">
        <f>H452+H460</f>
        <v>0</v>
      </c>
      <c r="I461" s="42">
        <f>I452+I460</f>
        <v>371920.3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223362.96</v>
      </c>
      <c r="G465" s="18">
        <v>2346.75</v>
      </c>
      <c r="H465" s="18">
        <f>1200</f>
        <v>1200</v>
      </c>
      <c r="I465" s="18"/>
      <c r="J465" s="18">
        <f>65180.28+49727.75+200729.04+15067.91</f>
        <v>330704.98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5676404.3500000006</v>
      </c>
      <c r="G468" s="18">
        <f>G193</f>
        <v>59380.160000000003</v>
      </c>
      <c r="H468" s="18">
        <f>H193</f>
        <v>77005.86</v>
      </c>
      <c r="I468" s="18"/>
      <c r="J468" s="18">
        <f>L408</f>
        <v>41215.32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5676404.3500000006</v>
      </c>
      <c r="G470" s="53">
        <f>SUM(G468:G469)</f>
        <v>59380.160000000003</v>
      </c>
      <c r="H470" s="53">
        <f>SUM(H468:H469)</f>
        <v>77005.86</v>
      </c>
      <c r="I470" s="53">
        <f>SUM(I468:I469)</f>
        <v>0</v>
      </c>
      <c r="J470" s="53">
        <f>SUM(J468:J469)</f>
        <v>41215.32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5643236.46</v>
      </c>
      <c r="G472" s="18">
        <f>L362</f>
        <v>59380.160000000003</v>
      </c>
      <c r="H472" s="18">
        <f>L352</f>
        <v>78205.86</v>
      </c>
      <c r="I472" s="18"/>
      <c r="J472" s="18">
        <f>L434</f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5643236.46</v>
      </c>
      <c r="G474" s="53">
        <f>SUM(G472:G473)</f>
        <v>59380.160000000003</v>
      </c>
      <c r="H474" s="53">
        <f>SUM(H472:H473)</f>
        <v>78205.86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256530.85000000056</v>
      </c>
      <c r="G476" s="53">
        <f>(G465+G470)- G474</f>
        <v>2346.75</v>
      </c>
      <c r="H476" s="53">
        <f>(H465+H470)- H474</f>
        <v>0</v>
      </c>
      <c r="I476" s="53">
        <f>(I465+I470)- I474</f>
        <v>0</v>
      </c>
      <c r="J476" s="53">
        <f>(J465+J470)- J474</f>
        <v>371920.3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274">
        <v>10</v>
      </c>
      <c r="G490" s="274">
        <v>10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913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 t="s">
        <v>915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314800</v>
      </c>
      <c r="G493" s="18">
        <v>543500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</v>
      </c>
      <c r="G494" s="18">
        <v>2.33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210000</v>
      </c>
      <c r="G495" s="18">
        <v>485000</v>
      </c>
      <c r="H495" s="18"/>
      <c r="I495" s="18"/>
      <c r="J495" s="18"/>
      <c r="K495" s="53">
        <f>SUM(F495:J495)</f>
        <v>695000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30000</v>
      </c>
      <c r="G497" s="18">
        <v>55000</v>
      </c>
      <c r="H497" s="18"/>
      <c r="I497" s="18"/>
      <c r="J497" s="18"/>
      <c r="K497" s="53">
        <f t="shared" si="35"/>
        <v>85000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180000</v>
      </c>
      <c r="G498" s="204">
        <f>G495-G497</f>
        <v>430000</v>
      </c>
      <c r="H498" s="204"/>
      <c r="I498" s="204"/>
      <c r="J498" s="204"/>
      <c r="K498" s="205">
        <f t="shared" si="35"/>
        <v>610000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66023.93-6701.93-5772-10500-4725-4725-8400</f>
        <v>25199.999999999993</v>
      </c>
      <c r="G499" s="18">
        <f>103911.82-10453.07-9133.75-8256.25-7256.25-7156.25</f>
        <v>61656.25</v>
      </c>
      <c r="H499" s="18"/>
      <c r="I499" s="18"/>
      <c r="J499" s="18"/>
      <c r="K499" s="53">
        <f t="shared" si="35"/>
        <v>86856.25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205200</v>
      </c>
      <c r="G500" s="42">
        <f>SUM(G498:G499)</f>
        <v>491656.25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696856.25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30000</v>
      </c>
      <c r="G501" s="204">
        <v>55000</v>
      </c>
      <c r="H501" s="204"/>
      <c r="I501" s="204"/>
      <c r="J501" s="204"/>
      <c r="K501" s="205">
        <f t="shared" si="35"/>
        <v>85000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3600+3600</f>
        <v>7200</v>
      </c>
      <c r="G502" s="18">
        <f>7156.25+6331.25</f>
        <v>13487.5</v>
      </c>
      <c r="H502" s="18"/>
      <c r="I502" s="18"/>
      <c r="J502" s="18"/>
      <c r="K502" s="53">
        <f t="shared" si="35"/>
        <v>20687.5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37200</v>
      </c>
      <c r="G503" s="42">
        <f>SUM(G501:G502)</f>
        <v>68487.5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105687.5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263720.1+256138.6+8859.89+11719.37</f>
        <v>540437.96</v>
      </c>
      <c r="G521" s="18">
        <f>272040.2-101804.14</f>
        <v>170236.06</v>
      </c>
      <c r="H521" s="18">
        <f>1480+3000+500+3732.1+800+6621.19+78842+873.38</f>
        <v>95848.670000000013</v>
      </c>
      <c r="I521" s="18">
        <f>3970.55</f>
        <v>3970.55</v>
      </c>
      <c r="J521" s="18">
        <f>247.88</f>
        <v>247.88</v>
      </c>
      <c r="K521" s="18">
        <f>2031</f>
        <v>2031</v>
      </c>
      <c r="L521" s="88">
        <f>SUM(F521:K521)</f>
        <v>812772.12000000011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f>2565.12+38934</f>
        <v>41499.120000000003</v>
      </c>
      <c r="I523" s="18"/>
      <c r="J523" s="18"/>
      <c r="K523" s="18"/>
      <c r="L523" s="88">
        <f>SUM(F523:K523)</f>
        <v>41499.120000000003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540437.96</v>
      </c>
      <c r="G524" s="108">
        <f t="shared" ref="G524:L524" si="36">SUM(G521:G523)</f>
        <v>170236.06</v>
      </c>
      <c r="H524" s="108">
        <f t="shared" si="36"/>
        <v>137347.79</v>
      </c>
      <c r="I524" s="108">
        <f t="shared" si="36"/>
        <v>3970.55</v>
      </c>
      <c r="J524" s="108">
        <f t="shared" si="36"/>
        <v>247.88</v>
      </c>
      <c r="K524" s="108">
        <f t="shared" si="36"/>
        <v>2031</v>
      </c>
      <c r="L524" s="89">
        <f t="shared" si="36"/>
        <v>854271.24000000011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67216.1-1480-3000-500-3732.1-800</f>
        <v>57704.000000000007</v>
      </c>
      <c r="I526" s="18"/>
      <c r="J526" s="18"/>
      <c r="K526" s="18"/>
      <c r="L526" s="88">
        <f>SUM(F526:K526)</f>
        <v>57704.000000000007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57704.000000000007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57704.000000000007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1733.18</v>
      </c>
      <c r="I536" s="18"/>
      <c r="J536" s="18"/>
      <c r="K536" s="18"/>
      <c r="L536" s="88">
        <f>SUM(F536:K536)</f>
        <v>1733.18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1733.18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1733.18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30253.8</f>
        <v>30253.8</v>
      </c>
      <c r="I541" s="18"/>
      <c r="J541" s="18"/>
      <c r="K541" s="18"/>
      <c r="L541" s="88">
        <f>SUM(F541:K541)</f>
        <v>30253.8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5751.2</f>
        <v>5751.2</v>
      </c>
      <c r="I543" s="18"/>
      <c r="J543" s="18"/>
      <c r="K543" s="18"/>
      <c r="L543" s="88">
        <f>SUM(F543:K543)</f>
        <v>5751.2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36005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36005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540437.96</v>
      </c>
      <c r="G545" s="89">
        <f t="shared" ref="G545:L545" si="41">G524+G529+G534+G539+G544</f>
        <v>170236.06</v>
      </c>
      <c r="H545" s="89">
        <f t="shared" si="41"/>
        <v>232789.97</v>
      </c>
      <c r="I545" s="89">
        <f t="shared" si="41"/>
        <v>3970.55</v>
      </c>
      <c r="J545" s="89">
        <f t="shared" si="41"/>
        <v>247.88</v>
      </c>
      <c r="K545" s="89">
        <f t="shared" si="41"/>
        <v>2031</v>
      </c>
      <c r="L545" s="89">
        <f t="shared" si="41"/>
        <v>949713.42000000016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812772.12000000011</v>
      </c>
      <c r="G549" s="87">
        <f>L526</f>
        <v>57704.000000000007</v>
      </c>
      <c r="H549" s="87">
        <f>L531</f>
        <v>0</v>
      </c>
      <c r="I549" s="87">
        <f>L536</f>
        <v>1733.18</v>
      </c>
      <c r="J549" s="87">
        <f>L541</f>
        <v>30253.8</v>
      </c>
      <c r="K549" s="87">
        <f>SUM(F549:J549)</f>
        <v>902463.10000000021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41499.120000000003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5751.2</v>
      </c>
      <c r="K551" s="87">
        <f>SUM(F551:J551)</f>
        <v>47250.32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854271.24000000011</v>
      </c>
      <c r="G552" s="89">
        <f t="shared" si="42"/>
        <v>57704.000000000007</v>
      </c>
      <c r="H552" s="89">
        <f t="shared" si="42"/>
        <v>0</v>
      </c>
      <c r="I552" s="89">
        <f t="shared" si="42"/>
        <v>1733.18</v>
      </c>
      <c r="J552" s="89">
        <f t="shared" si="42"/>
        <v>36005</v>
      </c>
      <c r="K552" s="89">
        <f t="shared" si="42"/>
        <v>949713.42000000016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f>1110733</f>
        <v>1110733</v>
      </c>
      <c r="I575" s="87">
        <f>SUM(F575:H575)</f>
        <v>1110733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f>78842-F580</f>
        <v>15430</v>
      </c>
      <c r="G578" s="18"/>
      <c r="H578" s="18"/>
      <c r="I578" s="87">
        <f t="shared" si="47"/>
        <v>15430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f>32611.89+30800.11</f>
        <v>63412</v>
      </c>
      <c r="G580" s="18"/>
      <c r="H580" s="18">
        <f>38934</f>
        <v>38934</v>
      </c>
      <c r="I580" s="87">
        <f t="shared" si="47"/>
        <v>102346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169687-J591</f>
        <v>135749.6</v>
      </c>
      <c r="I591" s="18"/>
      <c r="J591" s="18">
        <v>33937.4</v>
      </c>
      <c r="K591" s="104">
        <f t="shared" ref="K591:K597" si="48">SUM(H591:J591)</f>
        <v>169687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30253.8</v>
      </c>
      <c r="I592" s="18"/>
      <c r="J592" s="18">
        <f>5751.2</f>
        <v>5751.2</v>
      </c>
      <c r="K592" s="104">
        <f t="shared" si="48"/>
        <v>36005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3193.95</v>
      </c>
      <c r="I594" s="18"/>
      <c r="J594" s="18"/>
      <c r="K594" s="104">
        <f t="shared" si="48"/>
        <v>3193.95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6273.54</f>
        <v>6273.54</v>
      </c>
      <c r="I595" s="18"/>
      <c r="J595" s="18"/>
      <c r="K595" s="104">
        <f t="shared" si="48"/>
        <v>6273.54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175470.89</v>
      </c>
      <c r="I598" s="108">
        <f>SUM(I591:I597)</f>
        <v>0</v>
      </c>
      <c r="J598" s="108">
        <f>SUM(J591:J597)</f>
        <v>39688.6</v>
      </c>
      <c r="K598" s="108">
        <f>SUM(K591:K597)</f>
        <v>215159.49000000002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J277+J271</f>
        <v>26617.4</v>
      </c>
      <c r="I604" s="18"/>
      <c r="J604" s="18"/>
      <c r="K604" s="104">
        <f>SUM(H604:J604)</f>
        <v>26617.4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26617.4</v>
      </c>
      <c r="I605" s="108">
        <f>SUM(I602:I604)</f>
        <v>0</v>
      </c>
      <c r="J605" s="108">
        <f>SUM(J602:J604)</f>
        <v>0</v>
      </c>
      <c r="K605" s="108">
        <f>SUM(K602:K604)</f>
        <v>26617.4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279626.07999999996</v>
      </c>
      <c r="H617" s="109">
        <f>SUM(F52)</f>
        <v>279626.07999999996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2346.75</v>
      </c>
      <c r="H618" s="109">
        <f>SUM(G52)</f>
        <v>2346.75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22633.88</v>
      </c>
      <c r="H619" s="109">
        <f>SUM(H52)</f>
        <v>22633.88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371920.3</v>
      </c>
      <c r="H621" s="109">
        <f>SUM(J52)</f>
        <v>371920.3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256530.84999999995</v>
      </c>
      <c r="H622" s="109">
        <f>F476</f>
        <v>256530.85000000056</v>
      </c>
      <c r="I622" s="121" t="s">
        <v>101</v>
      </c>
      <c r="J622" s="109">
        <f t="shared" ref="J622:J655" si="50">G622-H622</f>
        <v>-6.1118043959140778E-10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2346.75</v>
      </c>
      <c r="H623" s="109">
        <f>G476</f>
        <v>2346.75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371920.3</v>
      </c>
      <c r="H626" s="109">
        <f>J476</f>
        <v>371920.3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5676404.3500000006</v>
      </c>
      <c r="H627" s="104">
        <f>SUM(F468)</f>
        <v>5676404.3500000006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59380.160000000003</v>
      </c>
      <c r="H628" s="104">
        <f>SUM(G468)</f>
        <v>59380.160000000003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77005.86</v>
      </c>
      <c r="H629" s="104">
        <f>SUM(H468)</f>
        <v>77005.86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41215.32</v>
      </c>
      <c r="H631" s="104">
        <f>SUM(J468)</f>
        <v>41215.32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5643236.46</v>
      </c>
      <c r="H632" s="104">
        <f>SUM(F472)</f>
        <v>5643236.46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78205.86</v>
      </c>
      <c r="H633" s="104">
        <f>SUM(H472)</f>
        <v>78205.86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4449.1499999999996</v>
      </c>
      <c r="H634" s="104">
        <f>I369</f>
        <v>4449.1499999999996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59380.160000000003</v>
      </c>
      <c r="H635" s="104">
        <f>SUM(G472)</f>
        <v>59380.160000000003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41215.32</v>
      </c>
      <c r="H637" s="164">
        <f>SUM(J468)</f>
        <v>41215.32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80494.7</v>
      </c>
      <c r="H639" s="104">
        <f>SUM(F461)</f>
        <v>80494.7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291425.59999999998</v>
      </c>
      <c r="H640" s="104">
        <f>SUM(G461)</f>
        <v>291425.59999999998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371920.3</v>
      </c>
      <c r="H642" s="104">
        <f>SUM(I461)</f>
        <v>371920.3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1215.3200000000002</v>
      </c>
      <c r="H644" s="104">
        <f>H408</f>
        <v>1215.32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40000</v>
      </c>
      <c r="H645" s="104">
        <f>G408</f>
        <v>40000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41215.32</v>
      </c>
      <c r="H646" s="104">
        <f>L408</f>
        <v>41215.32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215159.49000000002</v>
      </c>
      <c r="H647" s="104">
        <f>L208+L226+L244</f>
        <v>215159.48999999996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26617.4</v>
      </c>
      <c r="H648" s="104">
        <f>(J257+J338)-(J255+J336)</f>
        <v>26617.4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175470.88999999996</v>
      </c>
      <c r="H649" s="104">
        <f>H598</f>
        <v>175470.89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39688.6</v>
      </c>
      <c r="H651" s="104">
        <f>J598</f>
        <v>39688.6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18523.38</v>
      </c>
      <c r="H652" s="104">
        <f>K263+K345</f>
        <v>18523.38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40000</v>
      </c>
      <c r="H655" s="104">
        <f>K266+K347</f>
        <v>40000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4420365.88</v>
      </c>
      <c r="G660" s="19">
        <f>(L229+L309+L359)</f>
        <v>0</v>
      </c>
      <c r="H660" s="19">
        <f>(L247+L328+L360)</f>
        <v>1191920.7200000002</v>
      </c>
      <c r="I660" s="19">
        <f>SUM(F660:H660)</f>
        <v>5612286.5999999996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29668.400000000001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29668.400000000001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175470.88999999996</v>
      </c>
      <c r="G662" s="19">
        <f>(L226+L306)-(J226+J306)</f>
        <v>0</v>
      </c>
      <c r="H662" s="19">
        <f>(L244+L325)-(J244+J325)</f>
        <v>39688.6</v>
      </c>
      <c r="I662" s="19">
        <f>SUM(F662:H662)</f>
        <v>215159.48999999996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105459.4</v>
      </c>
      <c r="G663" s="199">
        <f>SUM(G575:G587)+SUM(I602:I604)+L612</f>
        <v>0</v>
      </c>
      <c r="H663" s="199">
        <f>SUM(H575:H587)+SUM(J602:J604)+L613</f>
        <v>1149667</v>
      </c>
      <c r="I663" s="19">
        <f>SUM(F663:H663)</f>
        <v>1255126.3999999999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4109767.19</v>
      </c>
      <c r="G664" s="19">
        <f>G660-SUM(G661:G663)</f>
        <v>0</v>
      </c>
      <c r="H664" s="19">
        <f>H660-SUM(H661:H663)</f>
        <v>2565.1200000001118</v>
      </c>
      <c r="I664" s="19">
        <f>I660-SUM(I661:I663)</f>
        <v>4112332.3099999996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205.72</v>
      </c>
      <c r="G665" s="248"/>
      <c r="H665" s="248"/>
      <c r="I665" s="19">
        <f>SUM(F665:H665)</f>
        <v>205.72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19977.48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19989.95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-2565.12</v>
      </c>
      <c r="I669" s="19">
        <f>SUM(F669:H669)</f>
        <v>-2565.12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19977.48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19977.48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Plainfield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1341330.9000000001</v>
      </c>
      <c r="C9" s="229">
        <f>'DOE25'!G197+'DOE25'!G215+'DOE25'!G233+'DOE25'!G276+'DOE25'!G295+'DOE25'!G314</f>
        <v>648454.90999999992</v>
      </c>
    </row>
    <row r="10" spans="1:3" x14ac:dyDescent="0.2">
      <c r="A10" t="s">
        <v>779</v>
      </c>
      <c r="B10" s="240">
        <f>1254740+3373.93</f>
        <v>1258113.93</v>
      </c>
      <c r="C10" s="240">
        <f>608224.4-0.02</f>
        <v>608224.38</v>
      </c>
    </row>
    <row r="11" spans="1:3" x14ac:dyDescent="0.2">
      <c r="A11" t="s">
        <v>780</v>
      </c>
      <c r="B11" s="240">
        <f>23738.85+21515.94</f>
        <v>45254.789999999994</v>
      </c>
      <c r="C11" s="240">
        <v>21878.04</v>
      </c>
    </row>
    <row r="12" spans="1:3" x14ac:dyDescent="0.2">
      <c r="A12" t="s">
        <v>781</v>
      </c>
      <c r="B12" s="240">
        <f>22873.68+15088.5</f>
        <v>37962.18</v>
      </c>
      <c r="C12" s="240">
        <v>18352.490000000002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1341330.8999999999</v>
      </c>
      <c r="C13" s="231">
        <f>SUM(C10:C12)</f>
        <v>648454.91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556477.96</v>
      </c>
      <c r="C18" s="229">
        <f>'DOE25'!G198+'DOE25'!G216+'DOE25'!G234+'DOE25'!G277+'DOE25'!G296+'DOE25'!G315</f>
        <v>170236.06</v>
      </c>
    </row>
    <row r="19" spans="1:3" x14ac:dyDescent="0.2">
      <c r="A19" t="s">
        <v>779</v>
      </c>
      <c r="B19" s="240">
        <f>263720.1+8859.89+1840</f>
        <v>274419.99</v>
      </c>
      <c r="C19" s="240">
        <v>83949.74</v>
      </c>
    </row>
    <row r="20" spans="1:3" x14ac:dyDescent="0.2">
      <c r="A20" t="s">
        <v>780</v>
      </c>
      <c r="B20" s="240">
        <f>14200+256138.6</f>
        <v>270338.59999999998</v>
      </c>
      <c r="C20" s="240">
        <v>82701.17</v>
      </c>
    </row>
    <row r="21" spans="1:3" x14ac:dyDescent="0.2">
      <c r="A21" t="s">
        <v>781</v>
      </c>
      <c r="B21" s="240">
        <v>11719.37</v>
      </c>
      <c r="C21" s="240">
        <v>3585.15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556477.96</v>
      </c>
      <c r="C22" s="231">
        <f>SUM(C19:C21)</f>
        <v>170236.06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25670</v>
      </c>
      <c r="C36" s="235">
        <f>'DOE25'!G200+'DOE25'!G218+'DOE25'!G236+'DOE25'!G279+'DOE25'!G298+'DOE25'!G317</f>
        <v>3820.66</v>
      </c>
    </row>
    <row r="37" spans="1:3" x14ac:dyDescent="0.2">
      <c r="A37" t="s">
        <v>779</v>
      </c>
      <c r="B37" s="240">
        <v>14740</v>
      </c>
      <c r="C37" s="240">
        <v>2193.87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10930</v>
      </c>
      <c r="C39" s="240">
        <v>1626.79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25670</v>
      </c>
      <c r="C40" s="231">
        <f>SUM(C37:C39)</f>
        <v>3820.66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I47" sqref="I4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Plainfield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4083339.6</v>
      </c>
      <c r="D5" s="20">
        <f>SUM('DOE25'!L197:L200)+SUM('DOE25'!L215:L218)+SUM('DOE25'!L233:L236)-F5-G5</f>
        <v>4065351.08</v>
      </c>
      <c r="E5" s="243"/>
      <c r="F5" s="255">
        <f>SUM('DOE25'!J197:J200)+SUM('DOE25'!J215:J218)+SUM('DOE25'!J233:J236)</f>
        <v>3341.9</v>
      </c>
      <c r="G5" s="53">
        <f>SUM('DOE25'!K197:K200)+SUM('DOE25'!K215:K218)+SUM('DOE25'!K233:K236)</f>
        <v>14646.62</v>
      </c>
      <c r="H5" s="259"/>
    </row>
    <row r="6" spans="1:9" x14ac:dyDescent="0.2">
      <c r="A6" s="32">
        <v>2100</v>
      </c>
      <c r="B6" t="s">
        <v>801</v>
      </c>
      <c r="C6" s="245">
        <f t="shared" si="0"/>
        <v>327410.92</v>
      </c>
      <c r="D6" s="20">
        <f>'DOE25'!L202+'DOE25'!L220+'DOE25'!L238-F6-G6</f>
        <v>318647.15999999997</v>
      </c>
      <c r="E6" s="243"/>
      <c r="F6" s="255">
        <f>'DOE25'!J202+'DOE25'!J220+'DOE25'!J238</f>
        <v>8634.76</v>
      </c>
      <c r="G6" s="53">
        <f>'DOE25'!K202+'DOE25'!K220+'DOE25'!K238</f>
        <v>129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116174.72999999998</v>
      </c>
      <c r="D7" s="20">
        <f>'DOE25'!L203+'DOE25'!L221+'DOE25'!L239-F7-G7</f>
        <v>114939.95999999999</v>
      </c>
      <c r="E7" s="243"/>
      <c r="F7" s="255">
        <f>'DOE25'!J203+'DOE25'!J221+'DOE25'!J239</f>
        <v>841.18</v>
      </c>
      <c r="G7" s="53">
        <f>'DOE25'!K203+'DOE25'!K221+'DOE25'!K239</f>
        <v>393.59</v>
      </c>
      <c r="H7" s="259"/>
    </row>
    <row r="8" spans="1:9" x14ac:dyDescent="0.2">
      <c r="A8" s="32">
        <v>2300</v>
      </c>
      <c r="B8" t="s">
        <v>802</v>
      </c>
      <c r="C8" s="245">
        <f t="shared" si="0"/>
        <v>140791.25999999998</v>
      </c>
      <c r="D8" s="243"/>
      <c r="E8" s="20">
        <f>'DOE25'!L204+'DOE25'!L222+'DOE25'!L240-F8-G8-D9-D11</f>
        <v>131112.34999999998</v>
      </c>
      <c r="F8" s="255">
        <f>'DOE25'!J204+'DOE25'!J222+'DOE25'!J240</f>
        <v>0</v>
      </c>
      <c r="G8" s="53">
        <f>'DOE25'!K204+'DOE25'!K222+'DOE25'!K240</f>
        <v>9678.91</v>
      </c>
      <c r="H8" s="259"/>
    </row>
    <row r="9" spans="1:9" x14ac:dyDescent="0.2">
      <c r="A9" s="32">
        <v>2310</v>
      </c>
      <c r="B9" t="s">
        <v>818</v>
      </c>
      <c r="C9" s="245">
        <f t="shared" si="0"/>
        <v>12300</v>
      </c>
      <c r="D9" s="244">
        <f>3625+3218.72+933.93+3161.18+1361.17</f>
        <v>12300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8950</v>
      </c>
      <c r="D10" s="243"/>
      <c r="E10" s="244">
        <f>6480+2470</f>
        <v>8950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87730.08</v>
      </c>
      <c r="D11" s="244">
        <f>67514+11924+2215.07+6077.01</f>
        <v>87730.08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217271.58000000002</v>
      </c>
      <c r="D12" s="20">
        <f>'DOE25'!L205+'DOE25'!L223+'DOE25'!L241-F12-G12</f>
        <v>212071.18000000002</v>
      </c>
      <c r="E12" s="243"/>
      <c r="F12" s="255">
        <f>'DOE25'!J205+'DOE25'!J223+'DOE25'!J241</f>
        <v>4037.4</v>
      </c>
      <c r="G12" s="53">
        <f>'DOE25'!K205+'DOE25'!K223+'DOE25'!K241</f>
        <v>1163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275722.92000000004</v>
      </c>
      <c r="D14" s="20">
        <f>'DOE25'!L207+'DOE25'!L225+'DOE25'!L243-F14-G14</f>
        <v>266162.71000000002</v>
      </c>
      <c r="E14" s="243"/>
      <c r="F14" s="255">
        <f>'DOE25'!J207+'DOE25'!J225+'DOE25'!J243</f>
        <v>9110.2099999999991</v>
      </c>
      <c r="G14" s="53">
        <f>'DOE25'!K207+'DOE25'!K225+'DOE25'!K243</f>
        <v>450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215159.48999999996</v>
      </c>
      <c r="D15" s="20">
        <f>'DOE25'!L208+'DOE25'!L226+'DOE25'!L244-F15-G15</f>
        <v>215159.48999999996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108812.5</v>
      </c>
      <c r="D25" s="243"/>
      <c r="E25" s="243"/>
      <c r="F25" s="258"/>
      <c r="G25" s="256"/>
      <c r="H25" s="257">
        <f>'DOE25'!L260+'DOE25'!L261+'DOE25'!L341+'DOE25'!L342</f>
        <v>108812.5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56340.840000000004</v>
      </c>
      <c r="D29" s="20">
        <f>'DOE25'!L358+'DOE25'!L359+'DOE25'!L360-'DOE25'!I367-F29-G29</f>
        <v>56340.840000000004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77005.86</v>
      </c>
      <c r="D31" s="20">
        <f>'DOE25'!L290+'DOE25'!L309+'DOE25'!L328+'DOE25'!L333+'DOE25'!L334+'DOE25'!L335-F31-G31</f>
        <v>76353.91</v>
      </c>
      <c r="E31" s="243"/>
      <c r="F31" s="255">
        <f>'DOE25'!J290+'DOE25'!J309+'DOE25'!J328+'DOE25'!J333+'DOE25'!J334+'DOE25'!J335</f>
        <v>651.95000000000005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5425056.4100000001</v>
      </c>
      <c r="E33" s="246">
        <f>SUM(E5:E31)</f>
        <v>140062.34999999998</v>
      </c>
      <c r="F33" s="246">
        <f>SUM(F5:F31)</f>
        <v>26617.4</v>
      </c>
      <c r="G33" s="246">
        <f>SUM(G5:G31)</f>
        <v>26461.120000000003</v>
      </c>
      <c r="H33" s="246">
        <f>SUM(H5:H31)</f>
        <v>108812.5</v>
      </c>
    </row>
    <row r="35" spans="2:8" ht="12" thickBot="1" x14ac:dyDescent="0.25">
      <c r="B35" s="253" t="s">
        <v>847</v>
      </c>
      <c r="D35" s="254">
        <f>E33</f>
        <v>140062.34999999998</v>
      </c>
      <c r="E35" s="249"/>
    </row>
    <row r="36" spans="2:8" ht="12" thickTop="1" x14ac:dyDescent="0.2">
      <c r="B36" t="s">
        <v>815</v>
      </c>
      <c r="D36" s="20">
        <f>D33</f>
        <v>5425056.4100000001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02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Plainfield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75410.729999999981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371920.3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170962.75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21214.19</v>
      </c>
      <c r="D11" s="95">
        <f>'DOE25'!G12</f>
        <v>1420.0900000000001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926.66</v>
      </c>
      <c r="E12" s="95">
        <f>'DOE25'!H13</f>
        <v>22633.88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12038.41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279626.07999999996</v>
      </c>
      <c r="D18" s="41">
        <f>SUM(D8:D17)</f>
        <v>2346.75</v>
      </c>
      <c r="E18" s="41">
        <f>SUM(E8:E17)</f>
        <v>22633.88</v>
      </c>
      <c r="F18" s="41">
        <f>SUM(F8:F17)</f>
        <v>0</v>
      </c>
      <c r="G18" s="41">
        <f>SUM(G8:G17)</f>
        <v>371920.3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22633.88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23094.91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0.32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23095.23</v>
      </c>
      <c r="D31" s="41">
        <f>SUM(D21:D30)</f>
        <v>0</v>
      </c>
      <c r="E31" s="41">
        <f>SUM(E21:E30)</f>
        <v>22633.88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2346.75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371920.3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40714.65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215816.19999999995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256530.84999999995</v>
      </c>
      <c r="D50" s="41">
        <f>SUM(D34:D49)</f>
        <v>2346.75</v>
      </c>
      <c r="E50" s="41">
        <f>SUM(E34:E49)</f>
        <v>0</v>
      </c>
      <c r="F50" s="41">
        <f>SUM(F34:F49)</f>
        <v>0</v>
      </c>
      <c r="G50" s="41">
        <f>SUM(G34:G49)</f>
        <v>371920.3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279626.07999999996</v>
      </c>
      <c r="D51" s="41">
        <f>D50+D31</f>
        <v>2346.75</v>
      </c>
      <c r="E51" s="41">
        <f>E50+E31</f>
        <v>22633.88</v>
      </c>
      <c r="F51" s="41">
        <f>F50+F31</f>
        <v>0</v>
      </c>
      <c r="G51" s="41">
        <f>G50+G31</f>
        <v>371920.3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4252259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82.18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1215.3200000000002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29668.400000000001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25326.68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25408.86</v>
      </c>
      <c r="D62" s="130">
        <f>SUM(D57:D61)</f>
        <v>29668.400000000001</v>
      </c>
      <c r="E62" s="130">
        <f>SUM(E57:E61)</f>
        <v>0</v>
      </c>
      <c r="F62" s="130">
        <f>SUM(F57:F61)</f>
        <v>0</v>
      </c>
      <c r="G62" s="130">
        <f>SUM(G57:G61)</f>
        <v>1215.3200000000002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4277667.8600000003</v>
      </c>
      <c r="D63" s="22">
        <f>D56+D62</f>
        <v>29668.400000000001</v>
      </c>
      <c r="E63" s="22">
        <f>E56+E62</f>
        <v>0</v>
      </c>
      <c r="F63" s="22">
        <f>F56+F62</f>
        <v>0</v>
      </c>
      <c r="G63" s="22">
        <f>G56+G62</f>
        <v>1215.3200000000002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669467.6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663165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1332632.6000000001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13834.44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11471.31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696.46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25305.75</v>
      </c>
      <c r="D78" s="130">
        <f>SUM(D72:D77)</f>
        <v>696.46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1357938.35</v>
      </c>
      <c r="D81" s="130">
        <f>SUM(D79:D80)+D78+D70</f>
        <v>696.46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39598.14</v>
      </c>
      <c r="D88" s="95">
        <f>SUM('DOE25'!G153:G161)</f>
        <v>10491.92</v>
      </c>
      <c r="E88" s="95">
        <f>SUM('DOE25'!H153:H161)</f>
        <v>77005.86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39598.14</v>
      </c>
      <c r="D91" s="131">
        <f>SUM(D85:D90)</f>
        <v>10491.92</v>
      </c>
      <c r="E91" s="131">
        <f>SUM(E85:E90)</f>
        <v>77005.86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18523.38</v>
      </c>
      <c r="E96" s="95">
        <f>'DOE25'!H179</f>
        <v>0</v>
      </c>
      <c r="F96" s="95">
        <f>'DOE25'!I179</f>
        <v>0</v>
      </c>
      <c r="G96" s="95">
        <f>'DOE25'!J179</f>
        <v>40000</v>
      </c>
    </row>
    <row r="97" spans="1:7" x14ac:dyDescent="0.2">
      <c r="A97" t="s">
        <v>758</v>
      </c>
      <c r="B97" s="32" t="s">
        <v>188</v>
      </c>
      <c r="C97" s="95">
        <f>SUM('DOE25'!F180:F181)</f>
        <v>1200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1200</v>
      </c>
      <c r="D103" s="86">
        <f>SUM(D93:D102)</f>
        <v>18523.38</v>
      </c>
      <c r="E103" s="86">
        <f>SUM(E93:E102)</f>
        <v>0</v>
      </c>
      <c r="F103" s="86">
        <f>SUM(F93:F102)</f>
        <v>0</v>
      </c>
      <c r="G103" s="86">
        <f>SUM(G93:G102)</f>
        <v>40000</v>
      </c>
    </row>
    <row r="104" spans="1:7" ht="12.75" thickTop="1" thickBot="1" x14ac:dyDescent="0.25">
      <c r="A104" s="33" t="s">
        <v>765</v>
      </c>
      <c r="C104" s="86">
        <f>C63+C81+C91+C103</f>
        <v>5676404.3500000006</v>
      </c>
      <c r="D104" s="86">
        <f>D63+D81+D91+D103</f>
        <v>59380.160000000003</v>
      </c>
      <c r="E104" s="86">
        <f>E63+E81+E91+E103</f>
        <v>77005.86</v>
      </c>
      <c r="F104" s="86">
        <f>F63+F81+F91+F103</f>
        <v>0</v>
      </c>
      <c r="G104" s="86">
        <f>G63+G81+G103</f>
        <v>41215.32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3180101.63</v>
      </c>
      <c r="D109" s="24" t="s">
        <v>289</v>
      </c>
      <c r="E109" s="95">
        <f>('DOE25'!L276)+('DOE25'!L295)+('DOE25'!L314)</f>
        <v>27389.87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867764.84</v>
      </c>
      <c r="D110" s="24" t="s">
        <v>289</v>
      </c>
      <c r="E110" s="95">
        <f>('DOE25'!L277)+('DOE25'!L296)+('DOE25'!L315)</f>
        <v>48014.04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35473.129999999997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4083339.5999999996</v>
      </c>
      <c r="D115" s="86">
        <f>SUM(D109:D114)</f>
        <v>0</v>
      </c>
      <c r="E115" s="86">
        <f>SUM(E109:E114)</f>
        <v>75403.91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327410.92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116174.72999999998</v>
      </c>
      <c r="D119" s="24" t="s">
        <v>289</v>
      </c>
      <c r="E119" s="95">
        <f>+('DOE25'!L282)+('DOE25'!L301)+('DOE25'!L320)</f>
        <v>1601.95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240821.34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217271.58000000002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275722.92000000004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215159.48999999996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59380.160000000003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1392560.9800000002</v>
      </c>
      <c r="D128" s="86">
        <f>SUM(D118:D127)</f>
        <v>59380.160000000003</v>
      </c>
      <c r="E128" s="86">
        <f>SUM(E118:E127)</f>
        <v>1601.95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90814.58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17997.919999999998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1200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18523.38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246.51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40968.81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-1215.3199999999997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167335.88</v>
      </c>
      <c r="D144" s="141">
        <f>SUM(D130:D143)</f>
        <v>0</v>
      </c>
      <c r="E144" s="141">
        <f>SUM(E130:E143)</f>
        <v>1200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5643236.46</v>
      </c>
      <c r="D145" s="86">
        <f>(D115+D128+D144)</f>
        <v>59380.160000000003</v>
      </c>
      <c r="E145" s="86">
        <f>(E115+E128+E144)</f>
        <v>78205.86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10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12/10</v>
      </c>
      <c r="C152" s="152" t="str">
        <f>'DOE25'!G491</f>
        <v>07/12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01/21</v>
      </c>
      <c r="C153" s="152" t="str">
        <f>'DOE25'!G492</f>
        <v>08/22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314800</v>
      </c>
      <c r="C154" s="137">
        <f>'DOE25'!G493</f>
        <v>543500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</v>
      </c>
      <c r="C155" s="137">
        <f>'DOE25'!G494</f>
        <v>2.33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210000</v>
      </c>
      <c r="C156" s="137">
        <f>'DOE25'!G495</f>
        <v>485000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695000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30000</v>
      </c>
      <c r="C158" s="137">
        <f>'DOE25'!G497</f>
        <v>55000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85000</v>
      </c>
    </row>
    <row r="159" spans="1:9" x14ac:dyDescent="0.2">
      <c r="A159" s="22" t="s">
        <v>35</v>
      </c>
      <c r="B159" s="137">
        <f>'DOE25'!F498</f>
        <v>180000</v>
      </c>
      <c r="C159" s="137">
        <f>'DOE25'!G498</f>
        <v>430000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610000</v>
      </c>
    </row>
    <row r="160" spans="1:9" x14ac:dyDescent="0.2">
      <c r="A160" s="22" t="s">
        <v>36</v>
      </c>
      <c r="B160" s="137">
        <f>'DOE25'!F499</f>
        <v>25199.999999999993</v>
      </c>
      <c r="C160" s="137">
        <f>'DOE25'!G499</f>
        <v>61656.25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86856.25</v>
      </c>
    </row>
    <row r="161" spans="1:7" x14ac:dyDescent="0.2">
      <c r="A161" s="22" t="s">
        <v>37</v>
      </c>
      <c r="B161" s="137">
        <f>'DOE25'!F500</f>
        <v>205200</v>
      </c>
      <c r="C161" s="137">
        <f>'DOE25'!G500</f>
        <v>491656.25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696856.25</v>
      </c>
    </row>
    <row r="162" spans="1:7" x14ac:dyDescent="0.2">
      <c r="A162" s="22" t="s">
        <v>38</v>
      </c>
      <c r="B162" s="137">
        <f>'DOE25'!F501</f>
        <v>30000</v>
      </c>
      <c r="C162" s="137">
        <f>'DOE25'!G501</f>
        <v>55000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85000</v>
      </c>
    </row>
    <row r="163" spans="1:7" x14ac:dyDescent="0.2">
      <c r="A163" s="22" t="s">
        <v>39</v>
      </c>
      <c r="B163" s="137">
        <f>'DOE25'!F502</f>
        <v>7200</v>
      </c>
      <c r="C163" s="137">
        <f>'DOE25'!G502</f>
        <v>13487.5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20687.5</v>
      </c>
    </row>
    <row r="164" spans="1:7" x14ac:dyDescent="0.2">
      <c r="A164" s="22" t="s">
        <v>246</v>
      </c>
      <c r="B164" s="137">
        <f>'DOE25'!F503</f>
        <v>37200</v>
      </c>
      <c r="C164" s="137">
        <f>'DOE25'!G503</f>
        <v>68487.5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105687.5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Plainfield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19977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19977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3207492</v>
      </c>
      <c r="D10" s="182">
        <f>ROUND((C10/$C$28)*100,1)</f>
        <v>57.3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915779</v>
      </c>
      <c r="D11" s="182">
        <f>ROUND((C11/$C$28)*100,1)</f>
        <v>16.399999999999999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35473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327411</v>
      </c>
      <c r="D15" s="182">
        <f t="shared" ref="D15:D27" si="0">ROUND((C15/$C$28)*100,1)</f>
        <v>5.8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117777</v>
      </c>
      <c r="D16" s="182">
        <f t="shared" si="0"/>
        <v>2.1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240821</v>
      </c>
      <c r="D17" s="182">
        <f t="shared" si="0"/>
        <v>4.3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217272</v>
      </c>
      <c r="D18" s="182">
        <f t="shared" si="0"/>
        <v>3.9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275723</v>
      </c>
      <c r="D20" s="182">
        <f t="shared" si="0"/>
        <v>4.9000000000000004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215159</v>
      </c>
      <c r="D21" s="182">
        <f t="shared" si="0"/>
        <v>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17998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29711.599999999999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5600616.5999999996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5600616.5999999996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90815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4252259</v>
      </c>
      <c r="D35" s="182">
        <f t="shared" ref="D35:D40" si="1">ROUND((C35/$C$41)*100,1)</f>
        <v>73.8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26624.180000000633</v>
      </c>
      <c r="D36" s="182">
        <f t="shared" si="1"/>
        <v>0.5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1332633</v>
      </c>
      <c r="D37" s="182">
        <f t="shared" si="1"/>
        <v>23.1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26002</v>
      </c>
      <c r="D38" s="182">
        <f t="shared" si="1"/>
        <v>0.5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127096</v>
      </c>
      <c r="D39" s="182">
        <f t="shared" si="1"/>
        <v>2.2000000000000002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5764614.1800000006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Plainfield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2015-10-05T15:15:03Z</cp:lastPrinted>
  <dcterms:created xsi:type="dcterms:W3CDTF">1997-12-04T19:04:30Z</dcterms:created>
  <dcterms:modified xsi:type="dcterms:W3CDTF">2015-12-14T14:16:35Z</dcterms:modified>
</cp:coreProperties>
</file>