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I662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C81" i="2" s="1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C16" i="13"/>
  <c r="H33" i="13"/>
  <c r="E33" i="13" l="1"/>
  <c r="D35" i="13" s="1"/>
  <c r="L290" i="1"/>
  <c r="F660" i="1" s="1"/>
  <c r="F664" i="1" s="1"/>
  <c r="F672" i="1" s="1"/>
  <c r="C4" i="10" s="1"/>
  <c r="E109" i="2"/>
  <c r="E115" i="2" s="1"/>
  <c r="F667" i="1"/>
  <c r="C62" i="2"/>
  <c r="C63" i="2" s="1"/>
  <c r="C104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I660" i="1" l="1"/>
  <c r="I664" i="1" s="1"/>
  <c r="I672" i="1" s="1"/>
  <c r="C7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<sst xmlns="http://schemas.openxmlformats.org/spreadsheetml/2006/main" count="3956" uniqueCount="914">
  <si>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</si>
  <si>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</si>
  <si>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</si>
  <si>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</si>
  <si>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</si>
  <si>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</si>
  <si>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</si>
  <si>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</si>
  <si>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</si>
  <si>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</si>
  <si>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</si>
  <si>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</si>
  <si>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</si>
  <si>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</si>
  <si>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</si>
  <si>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</si>
  <si>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</si>
  <si>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</si>
  <si>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</si>
  <si>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</si>
  <si>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</si>
  <si>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</si>
  <si>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</si>
  <si>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</si>
  <si>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</si>
  <si>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</si>
  <si>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</si>
  <si>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</si>
  <si>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</si>
  <si>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</si>
  <si>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</si>
  <si>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</si>
  <si>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</si>
  <si>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</si>
  <si>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</si>
  <si>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</si>
  <si>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</si>
  <si>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</si>
  <si>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</si>
  <si>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</si>
  <si>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</si>
  <si>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</si>
  <si>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</si>
  <si>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</si>
  <si>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</si>
  <si>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</si>
  <si>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</si>
  <si>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</si>
  <si>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</si>
  <si>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</si>
  <si>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</si>
  <si>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</si>
  <si>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</si>
  <si>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</si>
  <si>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</si>
  <si>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</si>
  <si>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</si>
  <si>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</si>
  <si>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</si>
  <si>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</si>
  <si>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</si>
  <si>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</si>
  <si>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</si>
  <si>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</si>
  <si>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</si>
  <si>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</si>
  <si>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</si>
  <si>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</si>
  <si>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</si>
  <si>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</si>
  <si>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</si>
  <si>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</si>
  <si>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</si>
  <si>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</si>
  <si>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</si>
  <si>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</si>
  <si>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</si>
  <si>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</si>
  <si>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</si>
  <si>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</si>
  <si>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</si>
  <si>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</si>
  <si>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</si>
  <si>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</si>
  <si>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</si>
  <si>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</si>
  <si>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</si>
  <si>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</si>
  <si>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</si>
  <si>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</si>
  <si>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</si>
  <si>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</si>
  <si>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</si>
  <si>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</si>
  <si>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</si>
  <si>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</si>
  <si>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</si>
  <si>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</si>
  <si>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</si>
  <si>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</si>
  <si>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</si>
  <si>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</si>
  <si>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</si>
  <si>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</si>
  <si>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</si>
  <si>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</si>
  <si>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</si>
  <si>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</si>
  <si>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</si>
  <si>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</si>
  <si>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</si>
  <si>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</si>
  <si>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</si>
  <si>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</si>
  <si>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</si>
  <si>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</si>
  <si>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</si>
  <si>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</si>
  <si>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</si>
  <si>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</si>
  <si>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</si>
  <si>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</si>
  <si>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</si>
  <si>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</si>
  <si>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</si>
  <si>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</si>
  <si>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</si>
  <si>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</si>
  <si>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</si>
  <si>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</si>
  <si>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</si>
  <si>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</si>
  <si>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</si>
  <si>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</si>
  <si>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</si>
  <si>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</si>
  <si>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</si>
  <si>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</si>
  <si>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</si>
  <si>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</si>
  <si>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</si>
  <si>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</si>
  <si>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</si>
  <si>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</si>
  <si>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</si>
  <si>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</si>
  <si>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</si>
  <si>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</si>
  <si>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</si>
  <si>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</si>
  <si>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</si>
  <si>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</si>
  <si>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</si>
  <si>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</si>
  <si>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</si>
  <si>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</si>
  <si>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</si>
  <si>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</si>
  <si>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</si>
  <si>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</si>
  <si>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</si>
  <si>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</si>
  <si>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</si>
  <si>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</si>
  <si>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</si>
  <si>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</si>
  <si>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</si>
  <si>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</si>
  <si>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</si>
  <si>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</si>
  <si>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</si>
  <si>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</si>
  <si>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</si>
  <si>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</si>
  <si>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</si>
  <si>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</si>
  <si>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</si>
  <si>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</si>
  <si>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</si>
  <si>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</si>
  <si>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</si>
  <si>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</si>
  <si>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</si>
  <si>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</si>
  <si>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</si>
  <si>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</si>
  <si>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</si>
  <si>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</si>
  <si>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</si>
  <si>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</si>
  <si>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</si>
  <si>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</si>
  <si>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</si>
  <si>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</si>
  <si>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</si>
  <si>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</si>
  <si>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</si>
  <si>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</si>
  <si>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</si>
  <si>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</si>
  <si>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</si>
  <si>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</si>
  <si>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</si>
  <si>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</si>
  <si>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</si>
  <si>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</si>
  <si>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</si>
  <si>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</si>
  <si>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</si>
  <si>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</si>
  <si>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</si>
  <si>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</si>
  <si>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</si>
  <si>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</si>
  <si>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</si>
  <si>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</si>
  <si>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</si>
  <si>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</si>
  <si>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</si>
  <si>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</si>
  <si>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</si>
  <si>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</si>
  <si>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</si>
  <si>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</si>
  <si>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</si>
  <si>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</si>
  <si>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</si>
  <si>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</si>
  <si>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</si>
  <si>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</si>
  <si>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</si>
  <si>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</si>
  <si>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</si>
  <si>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</si>
  <si>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</si>
  <si>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</si>
  <si>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</si>
  <si>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</si>
  <si>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</si>
  <si>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</si>
  <si>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</si>
  <si>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</si>
  <si>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</si>
  <si>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</si>
  <si>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</si>
  <si>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</si>
  <si>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</si>
  <si>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</si>
  <si>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</si>
  <si>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</si>
  <si>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</si>
  <si>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</si>
  <si>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</si>
  <si>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</si>
  <si>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</si>
  <si>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</si>
  <si>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</si>
  <si>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</si>
  <si>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</si>
  <si>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</si>
  <si>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</si>
  <si>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</si>
  <si>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</si>
  <si>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</si>
  <si>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</si>
  <si>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</si>
  <si>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</si>
  <si>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</si>
  <si>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</si>
  <si>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</si>
  <si>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</si>
  <si>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</si>
  <si>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</si>
  <si>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</si>
  <si>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</si>
  <si>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</si>
  <si>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</si>
  <si>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</si>
  <si>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</si>
  <si>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</si>
  <si>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</si>
  <si>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</si>
  <si>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</si>
  <si>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</si>
  <si>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</si>
  <si>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</si>
  <si>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</si>
  <si>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</si>
  <si>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</si>
  <si>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</si>
  <si>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</si>
  <si>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</si>
  <si>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</si>
  <si>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</si>
  <si>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</si>
  <si>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</si>
  <si>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</si>
  <si>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</si>
  <si>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</si>
  <si>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</si>
  <si>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</si>
  <si>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</si>
  <si>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</si>
  <si>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</si>
  <si>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</si>
  <si>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</si>
  <si>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</si>
  <si>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</si>
  <si>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</si>
  <si>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</si>
  <si>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</si>
  <si>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</si>
  <si>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</si>
  <si>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</si>
  <si>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</si>
  <si>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</si>
  <si>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</si>
  <si>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</si>
  <si>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</si>
  <si>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</si>
  <si>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</si>
  <si>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</si>
  <si>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</si>
  <si>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</si>
  <si>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</si>
  <si>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</si>
  <si>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</si>
  <si>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</si>
  <si>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</si>
  <si>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</si>
  <si>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</si>
  <si>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</si>
  <si>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</si>
  <si>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</si>
  <si>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</si>
  <si>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</si>
  <si>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</si>
  <si>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</si>
  <si>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</si>
  <si>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</si>
  <si>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</si>
  <si>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</si>
  <si>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</si>
  <si>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</si>
  <si>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</si>
  <si>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</si>
  <si>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</si>
  <si>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</si>
  <si>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</si>
  <si>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</si>
  <si>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</si>
  <si>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</si>
  <si>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</si>
  <si>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</si>
  <si>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</si>
  <si>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</si>
  <si>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</si>
  <si>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</si>
  <si>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</si>
  <si>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</si>
  <si>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</si>
  <si>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</si>
  <si>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</si>
  <si>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</si>
  <si>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</si>
  <si>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</si>
  <si>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</si>
  <si>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</si>
  <si>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</si>
  <si>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</si>
  <si>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</si>
  <si>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</si>
  <si>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</si>
  <si>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</si>
  <si>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</si>
  <si>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</si>
  <si>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</si>
  <si>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</si>
  <si>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</si>
  <si>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</si>
  <si>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</si>
  <si>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</si>
  <si>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</si>
  <si>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</si>
  <si>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</si>
  <si>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</si>
  <si>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</si>
  <si>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</si>
  <si>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</si>
  <si>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</si>
  <si>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</si>
  <si>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</si>
  <si>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</si>
  <si>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</si>
  <si>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</si>
  <si>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</si>
  <si>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</si>
  <si>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</si>
  <si>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</si>
  <si>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</si>
  <si>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</si>
  <si>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</si>
  <si>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</si>
  <si>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</si>
  <si>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</si>
  <si>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</si>
  <si>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</si>
  <si>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</si>
  <si>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</si>
  <si>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</si>
  <si>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</si>
  <si>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</si>
  <si>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</si>
  <si>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</si>
  <si>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</si>
  <si>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</si>
  <si>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</si>
  <si>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</si>
  <si>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</si>
  <si>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</si>
  <si>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</si>
  <si>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</si>
  <si>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</si>
  <si>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</si>
  <si>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</si>
  <si>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</si>
  <si>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</si>
  <si>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</si>
  <si>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</si>
  <si>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</si>
  <si>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</si>
  <si>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</si>
  <si>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</si>
  <si>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</si>
  <si>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</si>
  <si>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</si>
  <si>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</si>
  <si>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</si>
  <si>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</si>
  <si>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</si>
  <si>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</si>
  <si>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</si>
  <si>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</si>
  <si>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</si>
  <si>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</si>
  <si>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</si>
  <si>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</si>
  <si>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</si>
  <si>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</si>
  <si>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</si>
  <si>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</si>
  <si>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</si>
  <si>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</si>
  <si>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</si>
  <si>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</si>
  <si>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</si>
  <si>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</si>
  <si>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</si>
  <si>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</si>
  <si>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</si>
  <si>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</si>
  <si>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</si>
  <si>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</si>
  <si>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</si>
  <si>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</si>
  <si>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</si>
  <si>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</si>
  <si>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</si>
  <si>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</si>
  <si>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</si>
  <si>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</si>
  <si>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</si>
  <si>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</si>
  <si>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</si>
  <si>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</si>
  <si>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</si>
  <si>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</si>
  <si>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</si>
  <si>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</si>
  <si>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</si>
  <si>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</si>
  <si>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</si>
  <si>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</si>
  <si>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</si>
  <si>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</si>
  <si>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</si>
  <si>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</si>
  <si>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</si>
  <si>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</si>
  <si>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</si>
  <si>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</si>
  <si>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</si>
  <si>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</si>
  <si>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</si>
  <si>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</si>
  <si>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</si>
  <si>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</si>
  <si>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</si>
  <si>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</si>
  <si>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</si>
  <si>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</si>
  <si>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</si>
  <si>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</si>
  <si>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</si>
  <si>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</si>
  <si>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</si>
  <si>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</si>
  <si>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</si>
  <si>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</si>
  <si>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</si>
  <si>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</si>
  <si>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</si>
  <si>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</si>
  <si>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</si>
  <si>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</si>
  <si>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</si>
  <si>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</si>
  <si>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</si>
  <si>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</si>
  <si>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</si>
  <si>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</si>
  <si>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</si>
  <si>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</si>
  <si>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</si>
  <si>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</si>
  <si>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</si>
  <si>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</si>
  <si>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</si>
  <si>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</si>
  <si>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</si>
  <si>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</si>
  <si>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</si>
  <si>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</si>
  <si>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</si>
  <si>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</si>
  <si>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</si>
  <si>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</si>
  <si>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</si>
  <si>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</si>
  <si>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</si>
  <si>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</si>
  <si>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</si>
  <si>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</si>
  <si>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</si>
  <si>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</si>
  <si>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</si>
  <si>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</si>
  <si>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</si>
  <si>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</si>
  <si>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</si>
  <si>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</si>
  <si>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</si>
  <si>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</si>
  <si>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</si>
  <si>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</si>
  <si>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</si>
  <si>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</si>
  <si>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</si>
  <si>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</si>
  <si>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</si>
  <si>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</si>
  <si>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</si>
  <si>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</si>
  <si>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</si>
  <si>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</si>
  <si>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</si>
  <si>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</si>
  <si>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</si>
  <si>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</si>
  <si>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</si>
  <si>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</si>
  <si>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</si>
  <si>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</si>
  <si>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</si>
  <si>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</si>
  <si>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</si>
  <si>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</si>
  <si>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</si>
  <si>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</si>
  <si>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</si>
  <si>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</si>
  <si>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</si>
  <si>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</si>
  <si>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</si>
  <si>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</si>
  <si>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</si>
  <si>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</si>
  <si>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</si>
  <si>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</si>
  <si>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</si>
  <si>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</si>
  <si>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</si>
  <si>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</si>
  <si>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</si>
  <si>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</si>
  <si>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</si>
  <si>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</si>
  <si>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</si>
  <si>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</si>
  <si>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</si>
  <si>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</si>
  <si>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</si>
  <si>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</si>
  <si>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</si>
  <si>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</si>
  <si>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</si>
  <si>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</si>
  <si>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</si>
  <si>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</si>
  <si>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</si>
  <si>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</si>
  <si>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</si>
  <si>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</si>
  <si>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</si>
  <si>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</si>
  <si>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</si>
  <si>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</si>
  <si>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</si>
  <si>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</si>
  <si>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</si>
  <si>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</si>
  <si>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</si>
  <si>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</si>
  <si>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</si>
  <si>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</si>
  <si>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</si>
  <si>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</si>
  <si>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</si>
  <si>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</si>
  <si>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</si>
  <si>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</si>
  <si>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</si>
  <si>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</si>
  <si>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</si>
  <si>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</si>
  <si>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</si>
  <si>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</si>
  <si>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</si>
  <si>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</si>
  <si>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</si>
  <si>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</si>
  <si>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</si>
  <si>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</si>
  <si>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</si>
  <si>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</si>
  <si>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</si>
  <si>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</si>
  <si>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</si>
  <si>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</si>
  <si>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</si>
  <si>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</si>
  <si>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</si>
  <si>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</si>
  <si>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</si>
  <si>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</si>
  <si>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</si>
  <si>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</si>
  <si>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</si>
  <si>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</si>
  <si>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</si>
  <si>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</si>
  <si>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</si>
  <si>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</si>
  <si>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</si>
  <si>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</si>
  <si>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</si>
  <si>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</si>
  <si>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</si>
  <si>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</si>
  <si>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</si>
  <si>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</si>
  <si>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</si>
  <si>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</si>
  <si>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</si>
  <si>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</si>
  <si>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</si>
  <si>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</si>
  <si>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</si>
  <si>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</si>
  <si>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</si>
  <si>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</si>
  <si>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</si>
  <si>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</si>
  <si>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</si>
  <si>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</si>
  <si>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</si>
  <si>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</si>
  <si>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</si>
  <si>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</si>
  <si>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</si>
  <si>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</si>
  <si>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</si>
  <si>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</si>
  <si>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</si>
  <si>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</si>
  <si>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</si>
  <si>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</si>
  <si>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</si>
  <si>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</si>
  <si>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</si>
  <si>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</si>
  <si>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</si>
  <si>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</si>
  <si>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</si>
  <si>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</si>
  <si>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</si>
  <si>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</si>
  <si>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</si>
  <si>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</si>
  <si>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</si>
  <si>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</si>
  <si>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</si>
  <si>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</si>
  <si>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</si>
  <si>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</si>
  <si>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</si>
  <si>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</si>
  <si>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</si>
  <si>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</si>
  <si>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</si>
  <si>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</si>
  <si>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</si>
  <si>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</si>
  <si>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</si>
  <si>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</si>
  <si>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</si>
  <si>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</si>
  <si>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</si>
  <si>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</si>
  <si>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</si>
  <si>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</si>
  <si>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</si>
  <si>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</si>
  <si>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</si>
  <si>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</si>
  <si>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</si>
  <si>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</si>
  <si>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</si>
  <si>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</si>
  <si>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</si>
  <si>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</si>
  <si>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</si>
  <si>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</si>
  <si>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</si>
  <si>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</si>
  <si>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</si>
  <si>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</si>
  <si>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</si>
  <si>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</si>
  <si>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</si>
  <si>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</si>
  <si>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</si>
  <si>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</si>
  <si>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</si>
  <si>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</si>
  <si>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</si>
  <si>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</si>
  <si>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</si>
  <si>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</si>
  <si>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</si>
  <si>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</si>
  <si>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</si>
  <si>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</si>
  <si>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</si>
  <si>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</si>
  <si>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</si>
  <si>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</si>
  <si>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</si>
  <si>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</si>
  <si>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</si>
  <si>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</si>
  <si>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</si>
  <si>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</si>
  <si>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</si>
  <si>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</si>
  <si>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</si>
  <si>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</si>
  <si>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</si>
  <si>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</si>
  <si>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</si>
  <si>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</si>
  <si>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</si>
  <si>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</si>
  <si>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</si>
  <si>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</si>
  <si>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</si>
  <si>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</si>
  <si>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</si>
  <si>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</si>
  <si>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</si>
  <si>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</si>
  <si>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</si>
  <si>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</si>
  <si>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</si>
  <si>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</si>
  <si>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</si>
  <si>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</si>
  <si>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</si>
  <si>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</si>
  <si>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</si>
  <si>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</si>
  <si>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</si>
  <si>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</si>
  <si>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</si>
  <si>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</si>
  <si>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</si>
  <si>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</si>
  <si>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</si>
  <si>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</si>
  <si>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</si>
  <si>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</si>
  <si>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</si>
  <si>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</si>
  <si>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</si>
  <si>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</si>
  <si>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</si>
  <si>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</si>
  <si>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</si>
  <si>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</si>
  <si>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</si>
  <si>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</si>
  <si>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</si>
  <si>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</si>
  <si>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</si>
  <si>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</si>
  <si>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</si>
  <si>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</si>
  <si>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</si>
  <si>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</si>
  <si>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</si>
  <si>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</si>
  <si>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</si>
  <si>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</si>
  <si>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</si>
  <si>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</si>
  <si>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</si>
  <si>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</si>
  <si>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</si>
  <si>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</si>
  <si>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</si>
  <si>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</si>
  <si>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</si>
  <si>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</si>
  <si>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</si>
  <si>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</si>
  <si>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</si>
  <si>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</si>
  <si>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</si>
  <si>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</si>
  <si>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</si>
  <si>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</si>
  <si>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</si>
  <si>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</si>
  <si>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</si>
  <si>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</si>
  <si>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</si>
  <si>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</si>
  <si>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</si>
  <si>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</si>
  <si>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</si>
  <si>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</si>
  <si>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</si>
  <si>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</si>
  <si>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</si>
  <si>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</si>
  <si>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</si>
  <si>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</si>
  <si>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</si>
  <si>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</si>
  <si>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</si>
  <si>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</si>
  <si>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</si>
  <si>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</si>
  <si>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</si>
  <si>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</si>
  <si>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</si>
  <si>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</si>
  <si>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</si>
  <si>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</si>
  <si>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</si>
  <si>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</si>
  <si>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</si>
  <si>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</si>
  <si>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</si>
  <si>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</si>
  <si>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</si>
  <si>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</si>
  <si>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</si>
  <si>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</si>
  <si>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</si>
  <si>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</si>
  <si>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</si>
  <si>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</si>
  <si>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</si>
  <si>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</si>
  <si>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</si>
  <si>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</si>
  <si>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</si>
  <si>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</si>
  <si>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</si>
  <si>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</si>
  <si>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</si>
  <si>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</si>
  <si>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</si>
  <si>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</si>
  <si>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</si>
  <si>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</si>
  <si>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</si>
  <si>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</si>
  <si>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</si>
  <si>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</si>
  <si>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PLYMOUTH SCHOOL DISTRICT</t>
  </si>
  <si>
    <t>07/10</t>
  </si>
  <si>
    <t>08/15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</si>
</sst>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447</v>
      </c>
      <c r="C2" s="21">
        <v>447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142821.53</v>
      </c>
      <c r="G9" s="18">
        <v>-23144.62</v>
      </c>
      <c r="H9" s="18">
        <v>-25553.33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62041.35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28821.61</v>
      </c>
      <c r="G13" s="18">
        <v>34397.81</v>
      </c>
      <c r="H13" s="18">
        <v>30946.93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6097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177740.14</v>
      </c>
      <c r="G19" s="41">
        <f>SUM(G9:G18)</f>
        <v>11253.189999999999</v>
      </c>
      <c r="H19" s="41">
        <f>SUM(H9:H18)</f>
        <v>5393.5999999999985</v>
      </c>
      <c r="I19" s="41">
        <f>SUM(I9:I18)</f>
        <v>0</v>
      </c>
      <c r="J19" s="41">
        <f>SUM(J9:J18)</f>
        <v>62041.35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30483.97</v>
      </c>
      <c r="G24" s="18">
        <v>6073.7</v>
      </c>
      <c r="H24" s="18">
        <v>1991.65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2193.4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367.14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605</v>
      </c>
      <c r="G30" s="18"/>
      <c r="H30" s="18">
        <v>3631.55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33649.51</v>
      </c>
      <c r="G32" s="41">
        <f>SUM(G22:G31)</f>
        <v>6073.7</v>
      </c>
      <c r="H32" s="41">
        <f>SUM(H22:H31)</f>
        <v>5623.2000000000007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69929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5179.49</v>
      </c>
      <c r="H48" s="18">
        <v>-229.6</v>
      </c>
      <c r="I48" s="18"/>
      <c r="J48" s="13">
        <f>SUM(I459)</f>
        <v>62041.35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74161.63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144090.63</v>
      </c>
      <c r="G51" s="41">
        <f>SUM(G35:G50)</f>
        <v>5179.49</v>
      </c>
      <c r="H51" s="41">
        <f>SUM(H35:H50)</f>
        <v>-229.6</v>
      </c>
      <c r="I51" s="41">
        <f>SUM(I35:I50)</f>
        <v>0</v>
      </c>
      <c r="J51" s="41">
        <f>SUM(J35:J50)</f>
        <v>62041.35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177740.14</v>
      </c>
      <c r="G52" s="41">
        <f>G51+G32</f>
        <v>11253.189999999999</v>
      </c>
      <c r="H52" s="41">
        <f>H51+H32</f>
        <v>5393.6</v>
      </c>
      <c r="I52" s="41">
        <f>I51+I32</f>
        <v>0</v>
      </c>
      <c r="J52" s="41">
        <f>J51+J32</f>
        <v>62041.35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3646631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3646631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18007.509999999998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227600.05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135441.87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137408.72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518458.15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10.16</v>
      </c>
      <c r="G96" s="18"/>
      <c r="H96" s="18"/>
      <c r="I96" s="18"/>
      <c r="J96" s="18">
        <v>6.22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48742.29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>
        <v>7288.13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8131.01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335051.96999999997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343193.13999999996</v>
      </c>
      <c r="G111" s="41">
        <f>SUM(G96:G110)</f>
        <v>48742.29</v>
      </c>
      <c r="H111" s="41">
        <f>SUM(H96:H110)</f>
        <v>7288.13</v>
      </c>
      <c r="I111" s="41">
        <f>SUM(I96:I110)</f>
        <v>0</v>
      </c>
      <c r="J111" s="41">
        <f>SUM(J96:J110)</f>
        <v>6.22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4508282.29</v>
      </c>
      <c r="G112" s="41">
        <f>G60+G111</f>
        <v>48742.29</v>
      </c>
      <c r="H112" s="41">
        <f>H60+H79+H94+H111</f>
        <v>7288.13</v>
      </c>
      <c r="I112" s="41">
        <f>I60+I111</f>
        <v>0</v>
      </c>
      <c r="J112" s="41">
        <f>J60+J111</f>
        <v>6.22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2206971.1800000002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645213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2852184.18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420000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114607.52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1710.36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534607.52</v>
      </c>
      <c r="G136" s="41">
        <f>SUM(G123:G135)</f>
        <v>1710.36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3386791.7</v>
      </c>
      <c r="G140" s="41">
        <f>G121+SUM(G136:G137)</f>
        <v>1710.36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146393.21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996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119404.12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161715.74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18485.02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161715.74</v>
      </c>
      <c r="G162" s="41">
        <f>SUM(G150:G161)</f>
        <v>119404.12</v>
      </c>
      <c r="H162" s="41">
        <f>SUM(H150:H161)</f>
        <v>165874.22999999998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2658.55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164374.28999999998</v>
      </c>
      <c r="G169" s="41">
        <f>G147+G162+SUM(G163:G168)</f>
        <v>119404.12</v>
      </c>
      <c r="H169" s="41">
        <f>H147+H162+SUM(H163:H168)</f>
        <v>165874.22999999998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8059448.2800000003</v>
      </c>
      <c r="G193" s="47">
        <f>G112+G140+G169+G192</f>
        <v>169856.77</v>
      </c>
      <c r="H193" s="47">
        <f>H112+H140+H169+H192</f>
        <v>173162.36</v>
      </c>
      <c r="I193" s="47">
        <f>I112+I140+I169+I192</f>
        <v>0</v>
      </c>
      <c r="J193" s="47">
        <f>J112+J140+J192</f>
        <v>6.22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2023684.83</v>
      </c>
      <c r="G197" s="18">
        <v>872224.89</v>
      </c>
      <c r="H197" s="18">
        <v>16298.46</v>
      </c>
      <c r="I197" s="18">
        <v>104995.31</v>
      </c>
      <c r="J197" s="18">
        <v>67906.81</v>
      </c>
      <c r="K197" s="18">
        <v>449</v>
      </c>
      <c r="L197" s="19">
        <f>SUM(F197:K197)</f>
        <v>3085559.3000000003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905762.77</v>
      </c>
      <c r="G198" s="18">
        <v>437247.98</v>
      </c>
      <c r="H198" s="18">
        <v>311165.82</v>
      </c>
      <c r="I198" s="18">
        <v>1258.8399999999999</v>
      </c>
      <c r="J198" s="18">
        <v>5761.53</v>
      </c>
      <c r="K198" s="18"/>
      <c r="L198" s="19">
        <f>SUM(F198:K198)</f>
        <v>1661196.9400000002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111995.75</v>
      </c>
      <c r="G200" s="18">
        <v>19800.09</v>
      </c>
      <c r="H200" s="18">
        <v>14592.5</v>
      </c>
      <c r="I200" s="18">
        <v>8571.7099999999991</v>
      </c>
      <c r="J200" s="18"/>
      <c r="K200" s="18">
        <v>3790</v>
      </c>
      <c r="L200" s="19">
        <f>SUM(F200:K200)</f>
        <v>158750.04999999999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241426.4</v>
      </c>
      <c r="G202" s="18">
        <v>116893.34</v>
      </c>
      <c r="H202" s="18">
        <v>262633.2</v>
      </c>
      <c r="I202" s="18">
        <v>889.15</v>
      </c>
      <c r="J202" s="18"/>
      <c r="K202" s="18"/>
      <c r="L202" s="19">
        <f t="shared" ref="L202:L208" si="0">SUM(F202:K202)</f>
        <v>621842.09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46656.4</v>
      </c>
      <c r="G203" s="18">
        <v>97378.559999999998</v>
      </c>
      <c r="H203" s="18">
        <v>117.57</v>
      </c>
      <c r="I203" s="18">
        <v>2457.09</v>
      </c>
      <c r="J203" s="18">
        <v>1602</v>
      </c>
      <c r="K203" s="18"/>
      <c r="L203" s="19">
        <f t="shared" si="0"/>
        <v>148211.62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72860</v>
      </c>
      <c r="G204" s="18">
        <v>18608.48</v>
      </c>
      <c r="H204" s="18">
        <v>232027.03</v>
      </c>
      <c r="I204" s="18">
        <v>1930.57</v>
      </c>
      <c r="J204" s="18"/>
      <c r="K204" s="18">
        <v>3475.71</v>
      </c>
      <c r="L204" s="19">
        <f t="shared" si="0"/>
        <v>328901.79000000004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261826.41</v>
      </c>
      <c r="G205" s="18">
        <v>124075.72</v>
      </c>
      <c r="H205" s="18">
        <v>2928.11</v>
      </c>
      <c r="I205" s="18">
        <v>2841.54</v>
      </c>
      <c r="J205" s="18"/>
      <c r="K205" s="18">
        <v>1469</v>
      </c>
      <c r="L205" s="19">
        <f t="shared" si="0"/>
        <v>393140.77999999997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266</v>
      </c>
      <c r="I206" s="18"/>
      <c r="J206" s="18"/>
      <c r="K206" s="18"/>
      <c r="L206" s="19">
        <f t="shared" si="0"/>
        <v>266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197918.86</v>
      </c>
      <c r="G207" s="18">
        <v>99114.96</v>
      </c>
      <c r="H207" s="18">
        <v>139859</v>
      </c>
      <c r="I207" s="18">
        <v>141341.76000000001</v>
      </c>
      <c r="J207" s="18">
        <v>9899.32</v>
      </c>
      <c r="K207" s="18"/>
      <c r="L207" s="19">
        <f t="shared" si="0"/>
        <v>588133.9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197800.06</v>
      </c>
      <c r="I208" s="18"/>
      <c r="J208" s="18"/>
      <c r="K208" s="18"/>
      <c r="L208" s="19">
        <f t="shared" si="0"/>
        <v>197800.06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3862131.42</v>
      </c>
      <c r="G211" s="41">
        <f t="shared" si="1"/>
        <v>1785344.0200000003</v>
      </c>
      <c r="H211" s="41">
        <f t="shared" si="1"/>
        <v>1177687.75</v>
      </c>
      <c r="I211" s="41">
        <f t="shared" si="1"/>
        <v>264285.96999999997</v>
      </c>
      <c r="J211" s="41">
        <f t="shared" si="1"/>
        <v>85169.66</v>
      </c>
      <c r="K211" s="41">
        <f t="shared" si="1"/>
        <v>9183.7099999999991</v>
      </c>
      <c r="L211" s="41">
        <f t="shared" si="1"/>
        <v>7183802.5300000003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61567.31</v>
      </c>
      <c r="G253" s="18">
        <v>19529.05</v>
      </c>
      <c r="H253" s="18">
        <v>13725.12</v>
      </c>
      <c r="I253" s="18">
        <v>685.26</v>
      </c>
      <c r="J253" s="18"/>
      <c r="K253" s="18"/>
      <c r="L253" s="19">
        <f t="shared" si="6"/>
        <v>95506.739999999991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61567.31</v>
      </c>
      <c r="G256" s="41">
        <f t="shared" si="7"/>
        <v>19529.05</v>
      </c>
      <c r="H256" s="41">
        <f t="shared" si="7"/>
        <v>13725.12</v>
      </c>
      <c r="I256" s="41">
        <f t="shared" si="7"/>
        <v>685.26</v>
      </c>
      <c r="J256" s="41">
        <f t="shared" si="7"/>
        <v>0</v>
      </c>
      <c r="K256" s="41">
        <f t="shared" si="7"/>
        <v>0</v>
      </c>
      <c r="L256" s="41">
        <f>SUM(F256:K256)</f>
        <v>95506.739999999991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3923698.73</v>
      </c>
      <c r="G257" s="41">
        <f t="shared" si="8"/>
        <v>1804873.0700000003</v>
      </c>
      <c r="H257" s="41">
        <f t="shared" si="8"/>
        <v>1191412.8700000001</v>
      </c>
      <c r="I257" s="41">
        <f t="shared" si="8"/>
        <v>264971.23</v>
      </c>
      <c r="J257" s="41">
        <f t="shared" si="8"/>
        <v>85169.66</v>
      </c>
      <c r="K257" s="41">
        <f t="shared" si="8"/>
        <v>9183.7099999999991</v>
      </c>
      <c r="L257" s="41">
        <f t="shared" si="8"/>
        <v>7279309.2700000005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700000</v>
      </c>
      <c r="L260" s="19">
        <f>SUM(F260:K260)</f>
        <v>700000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28558.83</v>
      </c>
      <c r="L261" s="19">
        <f>SUM(F261:K261)</f>
        <v>28558.83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728558.83</v>
      </c>
      <c r="L270" s="41">
        <f t="shared" si="9"/>
        <v>728558.83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3923698.73</v>
      </c>
      <c r="G271" s="42">
        <f t="shared" si="11"/>
        <v>1804873.0700000003</v>
      </c>
      <c r="H271" s="42">
        <f t="shared" si="11"/>
        <v>1191412.8700000001</v>
      </c>
      <c r="I271" s="42">
        <f t="shared" si="11"/>
        <v>264971.23</v>
      </c>
      <c r="J271" s="42">
        <f t="shared" si="11"/>
        <v>85169.66</v>
      </c>
      <c r="K271" s="42">
        <f t="shared" si="11"/>
        <v>737742.53999999992</v>
      </c>
      <c r="L271" s="42">
        <f t="shared" si="11"/>
        <v>8007868.1000000006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63251.22</v>
      </c>
      <c r="G276" s="18">
        <v>25090.42</v>
      </c>
      <c r="H276" s="18"/>
      <c r="I276" s="18">
        <v>436.12</v>
      </c>
      <c r="J276" s="18"/>
      <c r="K276" s="18"/>
      <c r="L276" s="19">
        <f>SUM(F276:K276)</f>
        <v>88777.76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13666.82</v>
      </c>
      <c r="G279" s="18">
        <v>1927.09</v>
      </c>
      <c r="H279" s="18"/>
      <c r="I279" s="18"/>
      <c r="J279" s="18"/>
      <c r="K279" s="18"/>
      <c r="L279" s="19">
        <f>SUM(F279:K279)</f>
        <v>15593.91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24858.35</v>
      </c>
      <c r="G281" s="18">
        <v>11809.94</v>
      </c>
      <c r="H281" s="18"/>
      <c r="I281" s="18">
        <v>1187.25</v>
      </c>
      <c r="J281" s="18"/>
      <c r="K281" s="18"/>
      <c r="L281" s="19">
        <f t="shared" ref="L281:L287" si="12">SUM(F281:K281)</f>
        <v>37855.54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1883.5</v>
      </c>
      <c r="I282" s="18"/>
      <c r="J282" s="18"/>
      <c r="K282" s="18"/>
      <c r="L282" s="19">
        <f t="shared" si="12"/>
        <v>1883.5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7510.47</v>
      </c>
      <c r="G283" s="18"/>
      <c r="H283" s="18"/>
      <c r="I283" s="18"/>
      <c r="J283" s="18"/>
      <c r="K283" s="18">
        <v>807.23</v>
      </c>
      <c r="L283" s="19">
        <f t="shared" si="12"/>
        <v>8317.7000000000007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3136.43</v>
      </c>
      <c r="L285" s="19">
        <f t="shared" si="12"/>
        <v>3136.43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109286.86000000002</v>
      </c>
      <c r="G290" s="42">
        <f t="shared" si="13"/>
        <v>38827.449999999997</v>
      </c>
      <c r="H290" s="42">
        <f t="shared" si="13"/>
        <v>1883.5</v>
      </c>
      <c r="I290" s="42">
        <f t="shared" si="13"/>
        <v>1623.37</v>
      </c>
      <c r="J290" s="42">
        <f t="shared" si="13"/>
        <v>0</v>
      </c>
      <c r="K290" s="42">
        <f t="shared" si="13"/>
        <v>3943.66</v>
      </c>
      <c r="L290" s="41">
        <f t="shared" si="13"/>
        <v>155564.84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>
        <v>17597.52</v>
      </c>
      <c r="K336" s="18"/>
      <c r="L336" s="19">
        <f t="shared" si="18"/>
        <v>17597.52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17597.52</v>
      </c>
      <c r="K337" s="41">
        <f t="shared" si="19"/>
        <v>0</v>
      </c>
      <c r="L337" s="41">
        <f t="shared" si="18"/>
        <v>17597.52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109286.86000000002</v>
      </c>
      <c r="G338" s="41">
        <f t="shared" si="20"/>
        <v>38827.449999999997</v>
      </c>
      <c r="H338" s="41">
        <f t="shared" si="20"/>
        <v>1883.5</v>
      </c>
      <c r="I338" s="41">
        <f t="shared" si="20"/>
        <v>1623.37</v>
      </c>
      <c r="J338" s="41">
        <f t="shared" si="20"/>
        <v>17597.52</v>
      </c>
      <c r="K338" s="41">
        <f t="shared" si="20"/>
        <v>3943.66</v>
      </c>
      <c r="L338" s="41">
        <f t="shared" si="20"/>
        <v>173162.36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109286.86000000002</v>
      </c>
      <c r="G352" s="41">
        <f>G338</f>
        <v>38827.449999999997</v>
      </c>
      <c r="H352" s="41">
        <f>H338</f>
        <v>1883.5</v>
      </c>
      <c r="I352" s="41">
        <f>I338</f>
        <v>1623.37</v>
      </c>
      <c r="J352" s="41">
        <f>J338</f>
        <v>17597.52</v>
      </c>
      <c r="K352" s="47">
        <f>K338+K351</f>
        <v>3943.66</v>
      </c>
      <c r="L352" s="41">
        <f>L338+L351</f>
        <v>173162.36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169335</v>
      </c>
      <c r="I358" s="18"/>
      <c r="J358" s="18"/>
      <c r="K358" s="18"/>
      <c r="L358" s="13">
        <f>SUM(F358:K358)</f>
        <v>169335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169335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169335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6.22</v>
      </c>
      <c r="I396" s="18"/>
      <c r="J396" s="24" t="s">
        <v>289</v>
      </c>
      <c r="K396" s="24" t="s">
        <v>289</v>
      </c>
      <c r="L396" s="56">
        <f t="shared" si="26"/>
        <v>6.22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6.22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6.22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6.22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6.22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62041.35</v>
      </c>
      <c r="H440" s="18"/>
      <c r="I440" s="56">
        <f t="shared" si="33"/>
        <v>62041.35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62041.35</v>
      </c>
      <c r="H446" s="13">
        <f>SUM(H439:H445)</f>
        <v>0</v>
      </c>
      <c r="I446" s="13">
        <f>SUM(I439:I445)</f>
        <v>62041.35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62041.35</v>
      </c>
      <c r="H459" s="18"/>
      <c r="I459" s="56">
        <f t="shared" si="34"/>
        <v>62041.35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62041.35</v>
      </c>
      <c r="H460" s="83">
        <f>SUM(H454:H459)</f>
        <v>0</v>
      </c>
      <c r="I460" s="83">
        <f>SUM(I454:I459)</f>
        <v>62041.35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62041.35</v>
      </c>
      <c r="H461" s="42">
        <f>H452+H460</f>
        <v>0</v>
      </c>
      <c r="I461" s="42">
        <f>I452+I460</f>
        <v>62041.35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92510.45</v>
      </c>
      <c r="G465" s="18">
        <v>4657.72</v>
      </c>
      <c r="H465" s="18">
        <v>-229.6</v>
      </c>
      <c r="I465" s="18"/>
      <c r="J465" s="18">
        <v>62035.13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8059448.2800000003</v>
      </c>
      <c r="G468" s="18">
        <v>169856.77</v>
      </c>
      <c r="H468" s="18">
        <v>173162.36</v>
      </c>
      <c r="I468" s="18"/>
      <c r="J468" s="18">
        <v>6.22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8059448.2800000003</v>
      </c>
      <c r="G470" s="53">
        <f>SUM(G468:G469)</f>
        <v>169856.77</v>
      </c>
      <c r="H470" s="53">
        <f>SUM(H468:H469)</f>
        <v>173162.36</v>
      </c>
      <c r="I470" s="53">
        <f>SUM(I468:I469)</f>
        <v>0</v>
      </c>
      <c r="J470" s="53">
        <f>SUM(J468:J469)</f>
        <v>6.22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8007868.0999999996</v>
      </c>
      <c r="G472" s="18">
        <v>169335</v>
      </c>
      <c r="H472" s="18">
        <v>173162.36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8007868.0999999996</v>
      </c>
      <c r="G474" s="53">
        <f>SUM(G472:G473)</f>
        <v>169335</v>
      </c>
      <c r="H474" s="53">
        <f>SUM(H472:H473)</f>
        <v>173162.36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144090.63000000082</v>
      </c>
      <c r="G476" s="53">
        <f>(G465+G470)- G474</f>
        <v>5179.4899999999907</v>
      </c>
      <c r="H476" s="53">
        <f>(H465+H470)- H474</f>
        <v>-229.60000000000582</v>
      </c>
      <c r="I476" s="53">
        <f>(I465+I470)- I474</f>
        <v>0</v>
      </c>
      <c r="J476" s="53">
        <f>(J465+J470)- J474</f>
        <v>62041.35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3494639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2.69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1400000</v>
      </c>
      <c r="G495" s="18"/>
      <c r="H495" s="18"/>
      <c r="I495" s="18"/>
      <c r="J495" s="18"/>
      <c r="K495" s="53">
        <f>SUM(F495:J495)</f>
        <v>1400000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700000</v>
      </c>
      <c r="G497" s="18"/>
      <c r="H497" s="18"/>
      <c r="I497" s="18"/>
      <c r="J497" s="18"/>
      <c r="K497" s="53">
        <f t="shared" si="35"/>
        <v>700000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700000</v>
      </c>
      <c r="G498" s="204"/>
      <c r="H498" s="204"/>
      <c r="I498" s="204"/>
      <c r="J498" s="204"/>
      <c r="K498" s="205">
        <f t="shared" si="35"/>
        <v>700000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9467</v>
      </c>
      <c r="G499" s="18"/>
      <c r="H499" s="18"/>
      <c r="I499" s="18"/>
      <c r="J499" s="18"/>
      <c r="K499" s="53">
        <f t="shared" si="35"/>
        <v>9467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709467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709467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700000</v>
      </c>
      <c r="G501" s="204"/>
      <c r="H501" s="204"/>
      <c r="I501" s="204"/>
      <c r="J501" s="204"/>
      <c r="K501" s="205">
        <f t="shared" si="35"/>
        <v>700000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9467</v>
      </c>
      <c r="G502" s="18"/>
      <c r="H502" s="18"/>
      <c r="I502" s="18"/>
      <c r="J502" s="18"/>
      <c r="K502" s="53">
        <f t="shared" si="35"/>
        <v>9467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709467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709467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897832.77</v>
      </c>
      <c r="G521" s="18">
        <v>436641.3</v>
      </c>
      <c r="H521" s="18">
        <v>311165.82</v>
      </c>
      <c r="I521" s="18">
        <v>1258.8399999999999</v>
      </c>
      <c r="J521" s="18">
        <v>5761.53</v>
      </c>
      <c r="K521" s="18"/>
      <c r="L521" s="88">
        <f>SUM(F521:K521)</f>
        <v>1652660.2600000002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897832.77</v>
      </c>
      <c r="G524" s="108">
        <f t="shared" ref="G524:L524" si="36">SUM(G521:G523)</f>
        <v>436641.3</v>
      </c>
      <c r="H524" s="108">
        <f t="shared" si="36"/>
        <v>311165.82</v>
      </c>
      <c r="I524" s="108">
        <f t="shared" si="36"/>
        <v>1258.8399999999999</v>
      </c>
      <c r="J524" s="108">
        <f t="shared" si="36"/>
        <v>5761.53</v>
      </c>
      <c r="K524" s="108">
        <f t="shared" si="36"/>
        <v>0</v>
      </c>
      <c r="L524" s="89">
        <f t="shared" si="36"/>
        <v>1652660.2600000002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199670.28</v>
      </c>
      <c r="G526" s="18">
        <v>95450.67</v>
      </c>
      <c r="H526" s="18">
        <v>176876.15</v>
      </c>
      <c r="I526" s="18">
        <v>289</v>
      </c>
      <c r="J526" s="18"/>
      <c r="K526" s="18"/>
      <c r="L526" s="88">
        <f>SUM(F526:K526)</f>
        <v>472286.1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199670.28</v>
      </c>
      <c r="G529" s="89">
        <f t="shared" ref="G529:L529" si="37">SUM(G526:G528)</f>
        <v>95450.67</v>
      </c>
      <c r="H529" s="89">
        <f t="shared" si="37"/>
        <v>176876.15</v>
      </c>
      <c r="I529" s="89">
        <f t="shared" si="37"/>
        <v>289</v>
      </c>
      <c r="J529" s="89">
        <f t="shared" si="37"/>
        <v>0</v>
      </c>
      <c r="K529" s="89">
        <f t="shared" si="37"/>
        <v>0</v>
      </c>
      <c r="L529" s="89">
        <f t="shared" si="37"/>
        <v>472286.1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19129.54</v>
      </c>
      <c r="G531" s="18">
        <v>7873.95</v>
      </c>
      <c r="H531" s="18">
        <v>362.06</v>
      </c>
      <c r="I531" s="18"/>
      <c r="J531" s="18"/>
      <c r="K531" s="18"/>
      <c r="L531" s="88">
        <f>SUM(F531:K531)</f>
        <v>27365.550000000003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19129.54</v>
      </c>
      <c r="G534" s="89">
        <f t="shared" ref="G534:L534" si="38">SUM(G531:G533)</f>
        <v>7873.95</v>
      </c>
      <c r="H534" s="89">
        <f t="shared" si="38"/>
        <v>362.06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27365.550000000003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28000.44</v>
      </c>
      <c r="I541" s="18"/>
      <c r="J541" s="18"/>
      <c r="K541" s="18"/>
      <c r="L541" s="88">
        <f>SUM(F541:K541)</f>
        <v>28000.44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28000.44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28000.44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1116632.5900000001</v>
      </c>
      <c r="G545" s="89">
        <f t="shared" ref="G545:L545" si="41">G524+G529+G534+G539+G544</f>
        <v>539965.91999999993</v>
      </c>
      <c r="H545" s="89">
        <f t="shared" si="41"/>
        <v>516404.47</v>
      </c>
      <c r="I545" s="89">
        <f t="shared" si="41"/>
        <v>1547.84</v>
      </c>
      <c r="J545" s="89">
        <f t="shared" si="41"/>
        <v>5761.53</v>
      </c>
      <c r="K545" s="89">
        <f t="shared" si="41"/>
        <v>0</v>
      </c>
      <c r="L545" s="89">
        <f t="shared" si="41"/>
        <v>2180312.35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1652660.2600000002</v>
      </c>
      <c r="G549" s="87">
        <f>L526</f>
        <v>472286.1</v>
      </c>
      <c r="H549" s="87">
        <f>L531</f>
        <v>27365.550000000003</v>
      </c>
      <c r="I549" s="87">
        <f>L536</f>
        <v>0</v>
      </c>
      <c r="J549" s="87">
        <f>L541</f>
        <v>28000.44</v>
      </c>
      <c r="K549" s="87">
        <f>SUM(F549:J549)</f>
        <v>2180312.35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1652660.2600000002</v>
      </c>
      <c r="G552" s="89">
        <f t="shared" si="42"/>
        <v>472286.1</v>
      </c>
      <c r="H552" s="89">
        <f t="shared" si="42"/>
        <v>27365.550000000003</v>
      </c>
      <c r="I552" s="89">
        <f t="shared" si="42"/>
        <v>0</v>
      </c>
      <c r="J552" s="89">
        <f t="shared" si="42"/>
        <v>28000.44</v>
      </c>
      <c r="K552" s="89">
        <f t="shared" si="42"/>
        <v>2180312.35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7930</v>
      </c>
      <c r="G562" s="18">
        <v>606.67999999999995</v>
      </c>
      <c r="H562" s="18"/>
      <c r="I562" s="18"/>
      <c r="J562" s="18"/>
      <c r="K562" s="18"/>
      <c r="L562" s="88">
        <f>SUM(F562:K562)</f>
        <v>8536.68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7930</v>
      </c>
      <c r="G565" s="89">
        <f t="shared" si="44"/>
        <v>606.67999999999995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8536.68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7930</v>
      </c>
      <c r="G571" s="89">
        <f t="shared" ref="G571:L571" si="46">G560+G565+G570</f>
        <v>606.67999999999995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8536.68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10656.2</v>
      </c>
      <c r="G579" s="18"/>
      <c r="H579" s="18"/>
      <c r="I579" s="87">
        <f t="shared" si="47"/>
        <v>10656.2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25343.39</v>
      </c>
      <c r="G582" s="18"/>
      <c r="H582" s="18"/>
      <c r="I582" s="87">
        <f t="shared" si="47"/>
        <v>25343.39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216411</v>
      </c>
      <c r="G583" s="18"/>
      <c r="H583" s="18"/>
      <c r="I583" s="87">
        <f t="shared" si="47"/>
        <v>216411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121167.08</v>
      </c>
      <c r="I591" s="18"/>
      <c r="J591" s="18"/>
      <c r="K591" s="104">
        <f t="shared" ref="K591:K597" si="48">SUM(H591:J591)</f>
        <v>121167.08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28000.44</v>
      </c>
      <c r="I592" s="18"/>
      <c r="J592" s="18"/>
      <c r="K592" s="104">
        <f t="shared" si="48"/>
        <v>28000.44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19265.439999999999</v>
      </c>
      <c r="I594" s="18"/>
      <c r="J594" s="18"/>
      <c r="K594" s="104">
        <f t="shared" si="48"/>
        <v>19265.439999999999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29367.1</v>
      </c>
      <c r="I595" s="18"/>
      <c r="J595" s="18"/>
      <c r="K595" s="104">
        <f t="shared" si="48"/>
        <v>29367.1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197800.06</v>
      </c>
      <c r="I598" s="108">
        <f>SUM(I591:I597)</f>
        <v>0</v>
      </c>
      <c r="J598" s="108">
        <f>SUM(J591:J597)</f>
        <v>0</v>
      </c>
      <c r="K598" s="108">
        <f>SUM(K591:K597)</f>
        <v>197800.06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537.20000000000005</v>
      </c>
      <c r="I603" s="18"/>
      <c r="J603" s="18"/>
      <c r="K603" s="104">
        <f>SUM(H603:J603)</f>
        <v>537.20000000000005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84632.46</v>
      </c>
      <c r="I604" s="18"/>
      <c r="J604" s="18"/>
      <c r="K604" s="104">
        <f>SUM(H604:J604)</f>
        <v>84632.46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85169.66</v>
      </c>
      <c r="I605" s="108">
        <f>SUM(I602:I604)</f>
        <v>0</v>
      </c>
      <c r="J605" s="108">
        <f>SUM(J602:J604)</f>
        <v>0</v>
      </c>
      <c r="K605" s="108">
        <f>SUM(K602:K604)</f>
        <v>85169.66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177740.14</v>
      </c>
      <c r="H617" s="109">
        <f>SUM(F52)</f>
        <v>177740.14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11253.189999999999</v>
      </c>
      <c r="H618" s="109">
        <f>SUM(G52)</f>
        <v>11253.189999999999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5393.5999999999985</v>
      </c>
      <c r="H619" s="109">
        <f>SUM(H52)</f>
        <v>5393.6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62041.35</v>
      </c>
      <c r="H621" s="109">
        <f>SUM(J52)</f>
        <v>62041.35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144090.63</v>
      </c>
      <c r="H622" s="109">
        <f>F476</f>
        <v>144090.63000000082</v>
      </c>
      <c r="I622" s="121" t="s">
        <v>101</v>
      </c>
      <c r="J622" s="109">
        <f t="shared" ref="J622:J655" si="50">G622-H622</f>
        <v>-8.149072527885437E-10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5179.49</v>
      </c>
      <c r="H623" s="109">
        <f>G476</f>
        <v>5179.4899999999907</v>
      </c>
      <c r="I623" s="121" t="s">
        <v>102</v>
      </c>
      <c r="J623" s="109">
        <f t="shared" si="50"/>
        <v>9.0949470177292824E-12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-229.6</v>
      </c>
      <c r="H624" s="109">
        <f>H476</f>
        <v>-229.60000000000582</v>
      </c>
      <c r="I624" s="121" t="s">
        <v>103</v>
      </c>
      <c r="J624" s="109">
        <f t="shared" si="50"/>
        <v>5.8264504332328215E-12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62041.35</v>
      </c>
      <c r="H626" s="109">
        <f>J476</f>
        <v>62041.35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8059448.2800000003</v>
      </c>
      <c r="H627" s="104">
        <f>SUM(F468)</f>
        <v>8059448.2800000003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169856.77</v>
      </c>
      <c r="H628" s="104">
        <f>SUM(G468)</f>
        <v>169856.77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173162.36</v>
      </c>
      <c r="H629" s="104">
        <f>SUM(H468)</f>
        <v>173162.36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6.22</v>
      </c>
      <c r="H631" s="104">
        <f>SUM(J468)</f>
        <v>6.22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8007868.1000000006</v>
      </c>
      <c r="H632" s="104">
        <f>SUM(F472)</f>
        <v>8007868.0999999996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173162.36</v>
      </c>
      <c r="H633" s="104">
        <f>SUM(H472)</f>
        <v>173162.36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169335</v>
      </c>
      <c r="H635" s="104">
        <f>SUM(G472)</f>
        <v>169335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6.22</v>
      </c>
      <c r="H637" s="164">
        <f>SUM(J468)</f>
        <v>6.22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62041.35</v>
      </c>
      <c r="H640" s="104">
        <f>SUM(G461)</f>
        <v>62041.35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62041.35</v>
      </c>
      <c r="H642" s="104">
        <f>SUM(I461)</f>
        <v>62041.35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6.22</v>
      </c>
      <c r="H644" s="104">
        <f>H408</f>
        <v>6.22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6.22</v>
      </c>
      <c r="H646" s="104">
        <f>L408</f>
        <v>6.22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197800.06</v>
      </c>
      <c r="H647" s="104">
        <f>L208+L226+L244</f>
        <v>197800.06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85169.66</v>
      </c>
      <c r="H648" s="104">
        <f>(J257+J338)-(J255+J336)</f>
        <v>85169.66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197800.06</v>
      </c>
      <c r="H649" s="104">
        <f>H598</f>
        <v>197800.06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7508702.3700000001</v>
      </c>
      <c r="G660" s="19">
        <f>(L229+L309+L359)</f>
        <v>0</v>
      </c>
      <c r="H660" s="19">
        <f>(L247+L328+L360)</f>
        <v>0</v>
      </c>
      <c r="I660" s="19">
        <f>SUM(F660:H660)</f>
        <v>7508702.3700000001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48742.29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48742.29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197800.06</v>
      </c>
      <c r="G662" s="19">
        <f>(L226+L306)-(J226+J306)</f>
        <v>0</v>
      </c>
      <c r="H662" s="19">
        <f>(L244+L325)-(J244+J325)</f>
        <v>0</v>
      </c>
      <c r="I662" s="19">
        <f>SUM(F662:H662)</f>
        <v>197800.06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337580.25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337580.25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6924579.7700000005</v>
      </c>
      <c r="G664" s="19">
        <f>G660-SUM(G661:G663)</f>
        <v>0</v>
      </c>
      <c r="H664" s="19">
        <f>H660-SUM(H661:H663)</f>
        <v>0</v>
      </c>
      <c r="I664" s="19">
        <f>I660-SUM(I661:I663)</f>
        <v>6924579.7700000005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398.68</v>
      </c>
      <c r="G665" s="248"/>
      <c r="H665" s="248"/>
      <c r="I665" s="19">
        <f>SUM(F665:H665)</f>
        <v>398.68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17368.77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17368.77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17368.77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17368.77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PLYMOUTH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2086936.05</v>
      </c>
      <c r="C9" s="229">
        <f>'DOE25'!G197+'DOE25'!G215+'DOE25'!G233+'DOE25'!G276+'DOE25'!G295+'DOE25'!G314</f>
        <v>897315.31</v>
      </c>
    </row>
    <row r="10" spans="1:3" x14ac:dyDescent="0.2">
      <c r="A10" t="s">
        <v>779</v>
      </c>
      <c r="B10" s="240">
        <v>2042755.96</v>
      </c>
      <c r="C10" s="240">
        <v>893317.09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44180.09</v>
      </c>
      <c r="C12" s="240">
        <v>3998.22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2086936.05</v>
      </c>
      <c r="C13" s="231">
        <f>SUM(C10:C12)</f>
        <v>897315.30999999994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905762.77</v>
      </c>
      <c r="C18" s="229">
        <f>'DOE25'!G198+'DOE25'!G216+'DOE25'!G234+'DOE25'!G277+'DOE25'!G296+'DOE25'!G315</f>
        <v>437247.98</v>
      </c>
    </row>
    <row r="19" spans="1:3" x14ac:dyDescent="0.2">
      <c r="A19" t="s">
        <v>779</v>
      </c>
      <c r="B19" s="240">
        <v>444912.91</v>
      </c>
      <c r="C19" s="240">
        <v>200906.19</v>
      </c>
    </row>
    <row r="20" spans="1:3" x14ac:dyDescent="0.2">
      <c r="A20" t="s">
        <v>780</v>
      </c>
      <c r="B20" s="240">
        <v>411743.61</v>
      </c>
      <c r="C20" s="240">
        <v>218167.88</v>
      </c>
    </row>
    <row r="21" spans="1:3" x14ac:dyDescent="0.2">
      <c r="A21" t="s">
        <v>781</v>
      </c>
      <c r="B21" s="240">
        <v>49106.25</v>
      </c>
      <c r="C21" s="240">
        <v>18173.91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905762.77</v>
      </c>
      <c r="C22" s="231">
        <f>SUM(C19:C21)</f>
        <v>437247.98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125662.57</v>
      </c>
      <c r="C36" s="235">
        <f>'DOE25'!G200+'DOE25'!G218+'DOE25'!G236+'DOE25'!G279+'DOE25'!G298+'DOE25'!G317</f>
        <v>21727.18</v>
      </c>
    </row>
    <row r="37" spans="1:3" x14ac:dyDescent="0.2">
      <c r="A37" t="s">
        <v>779</v>
      </c>
      <c r="B37" s="240">
        <v>99775.29</v>
      </c>
      <c r="C37" s="240">
        <v>17552.849999999999</v>
      </c>
    </row>
    <row r="38" spans="1:3" x14ac:dyDescent="0.2">
      <c r="A38" t="s">
        <v>780</v>
      </c>
      <c r="B38" s="240">
        <v>13666.82</v>
      </c>
      <c r="C38" s="240">
        <v>2247.2399999999998</v>
      </c>
    </row>
    <row r="39" spans="1:3" x14ac:dyDescent="0.2">
      <c r="A39" t="s">
        <v>781</v>
      </c>
      <c r="B39" s="240">
        <v>12220.46</v>
      </c>
      <c r="C39" s="240">
        <v>1927.09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125662.56999999998</v>
      </c>
      <c r="C40" s="231">
        <f>SUM(C37:C39)</f>
        <v>21727.179999999997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PLYMOUTH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4905506.29</v>
      </c>
      <c r="D5" s="20">
        <f>SUM('DOE25'!L197:L200)+SUM('DOE25'!L215:L218)+SUM('DOE25'!L233:L236)-F5-G5</f>
        <v>4827598.95</v>
      </c>
      <c r="E5" s="243"/>
      <c r="F5" s="255">
        <f>SUM('DOE25'!J197:J200)+SUM('DOE25'!J215:J218)+SUM('DOE25'!J233:J236)</f>
        <v>73668.34</v>
      </c>
      <c r="G5" s="53">
        <f>SUM('DOE25'!K197:K200)+SUM('DOE25'!K215:K218)+SUM('DOE25'!K233:K236)</f>
        <v>4239</v>
      </c>
      <c r="H5" s="259"/>
    </row>
    <row r="6" spans="1:9" x14ac:dyDescent="0.2">
      <c r="A6" s="32">
        <v>2100</v>
      </c>
      <c r="B6" t="s">
        <v>801</v>
      </c>
      <c r="C6" s="245">
        <f t="shared" si="0"/>
        <v>621842.09</v>
      </c>
      <c r="D6" s="20">
        <f>'DOE25'!L202+'DOE25'!L220+'DOE25'!L238-F6-G6</f>
        <v>621842.09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148211.62</v>
      </c>
      <c r="D7" s="20">
        <f>'DOE25'!L203+'DOE25'!L221+'DOE25'!L239-F7-G7</f>
        <v>146609.62</v>
      </c>
      <c r="E7" s="243"/>
      <c r="F7" s="255">
        <f>'DOE25'!J203+'DOE25'!J221+'DOE25'!J239</f>
        <v>1602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213045.37</v>
      </c>
      <c r="D8" s="243"/>
      <c r="E8" s="20">
        <f>'DOE25'!L204+'DOE25'!L222+'DOE25'!L240-F8-G8-D9-D11</f>
        <v>209569.66</v>
      </c>
      <c r="F8" s="255">
        <f>'DOE25'!J204+'DOE25'!J222+'DOE25'!J240</f>
        <v>0</v>
      </c>
      <c r="G8" s="53">
        <f>'DOE25'!K204+'DOE25'!K222+'DOE25'!K240</f>
        <v>3475.71</v>
      </c>
      <c r="H8" s="259"/>
    </row>
    <row r="9" spans="1:9" x14ac:dyDescent="0.2">
      <c r="A9" s="32">
        <v>2310</v>
      </c>
      <c r="B9" t="s">
        <v>818</v>
      </c>
      <c r="C9" s="245">
        <f t="shared" si="0"/>
        <v>27890.82</v>
      </c>
      <c r="D9" s="244">
        <v>27890.82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7575</v>
      </c>
      <c r="D10" s="243"/>
      <c r="E10" s="244">
        <v>7575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87965.6</v>
      </c>
      <c r="D11" s="244">
        <v>87965.6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393140.77999999997</v>
      </c>
      <c r="D12" s="20">
        <f>'DOE25'!L205+'DOE25'!L223+'DOE25'!L241-F12-G12</f>
        <v>391671.77999999997</v>
      </c>
      <c r="E12" s="243"/>
      <c r="F12" s="255">
        <f>'DOE25'!J205+'DOE25'!J223+'DOE25'!J241</f>
        <v>0</v>
      </c>
      <c r="G12" s="53">
        <f>'DOE25'!K205+'DOE25'!K223+'DOE25'!K241</f>
        <v>1469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266</v>
      </c>
      <c r="D13" s="243"/>
      <c r="E13" s="20">
        <f>'DOE25'!L206+'DOE25'!L224+'DOE25'!L242-F13-G13</f>
        <v>266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588133.9</v>
      </c>
      <c r="D14" s="20">
        <f>'DOE25'!L207+'DOE25'!L225+'DOE25'!L243-F14-G14</f>
        <v>578234.58000000007</v>
      </c>
      <c r="E14" s="243"/>
      <c r="F14" s="255">
        <f>'DOE25'!J207+'DOE25'!J225+'DOE25'!J243</f>
        <v>9899.32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197800.06</v>
      </c>
      <c r="D15" s="20">
        <f>'DOE25'!L208+'DOE25'!L226+'DOE25'!L244-F15-G15</f>
        <v>197800.06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95506.739999999991</v>
      </c>
      <c r="D19" s="20">
        <f>'DOE25'!L253-F19-G19</f>
        <v>95506.739999999991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17597.52</v>
      </c>
      <c r="D22" s="243"/>
      <c r="E22" s="243"/>
      <c r="F22" s="255">
        <f>'DOE25'!L255+'DOE25'!L336</f>
        <v>17597.52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728558.83</v>
      </c>
      <c r="D25" s="243"/>
      <c r="E25" s="243"/>
      <c r="F25" s="258"/>
      <c r="G25" s="256"/>
      <c r="H25" s="257">
        <f>'DOE25'!L260+'DOE25'!L261+'DOE25'!L341+'DOE25'!L342</f>
        <v>728558.83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169335</v>
      </c>
      <c r="D29" s="20">
        <f>'DOE25'!L358+'DOE25'!L359+'DOE25'!L360-'DOE25'!I367-F29-G29</f>
        <v>169335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155564.84</v>
      </c>
      <c r="D31" s="20">
        <f>'DOE25'!L290+'DOE25'!L309+'DOE25'!L328+'DOE25'!L333+'DOE25'!L334+'DOE25'!L335-F31-G31</f>
        <v>151621.18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3943.66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7296076.4199999999</v>
      </c>
      <c r="E33" s="246">
        <f>SUM(E5:E31)</f>
        <v>217410.66</v>
      </c>
      <c r="F33" s="246">
        <f>SUM(F5:F31)</f>
        <v>102767.18000000001</v>
      </c>
      <c r="G33" s="246">
        <f>SUM(G5:G31)</f>
        <v>13127.369999999999</v>
      </c>
      <c r="H33" s="246">
        <f>SUM(H5:H31)</f>
        <v>728558.83</v>
      </c>
    </row>
    <row r="35" spans="2:8" ht="12" thickBot="1" x14ac:dyDescent="0.25">
      <c r="B35" s="253" t="s">
        <v>847</v>
      </c>
      <c r="D35" s="254">
        <f>E33</f>
        <v>217410.66</v>
      </c>
      <c r="E35" s="249"/>
    </row>
    <row r="36" spans="2:8" ht="12" thickTop="1" x14ac:dyDescent="0.2">
      <c r="B36" t="s">
        <v>815</v>
      </c>
      <c r="D36" s="20">
        <f>D33</f>
        <v>7296076.4199999999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PLYMOUTH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142821.53</v>
      </c>
      <c r="D8" s="95">
        <f>'DOE25'!G9</f>
        <v>-23144.62</v>
      </c>
      <c r="E8" s="95">
        <f>'DOE25'!H9</f>
        <v>-25553.33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62041.35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28821.61</v>
      </c>
      <c r="D12" s="95">
        <f>'DOE25'!G13</f>
        <v>34397.81</v>
      </c>
      <c r="E12" s="95">
        <f>'DOE25'!H13</f>
        <v>30946.93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6097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177740.14</v>
      </c>
      <c r="D18" s="41">
        <f>SUM(D8:D17)</f>
        <v>11253.189999999999</v>
      </c>
      <c r="E18" s="41">
        <f>SUM(E8:E17)</f>
        <v>5393.5999999999985</v>
      </c>
      <c r="F18" s="41">
        <f>SUM(F8:F17)</f>
        <v>0</v>
      </c>
      <c r="G18" s="41">
        <f>SUM(G8:G17)</f>
        <v>62041.35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30483.97</v>
      </c>
      <c r="D23" s="95">
        <f>'DOE25'!G24</f>
        <v>6073.7</v>
      </c>
      <c r="E23" s="95">
        <f>'DOE25'!H24</f>
        <v>1991.65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2193.4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367.14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605</v>
      </c>
      <c r="D29" s="95">
        <f>'DOE25'!G30</f>
        <v>0</v>
      </c>
      <c r="E29" s="95">
        <f>'DOE25'!H30</f>
        <v>3631.55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33649.51</v>
      </c>
      <c r="D31" s="41">
        <f>SUM(D21:D30)</f>
        <v>6073.7</v>
      </c>
      <c r="E31" s="41">
        <f>SUM(E21:E30)</f>
        <v>5623.2000000000007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69929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5179.49</v>
      </c>
      <c r="E47" s="95">
        <f>'DOE25'!H48</f>
        <v>-229.6</v>
      </c>
      <c r="F47" s="95">
        <f>'DOE25'!I48</f>
        <v>0</v>
      </c>
      <c r="G47" s="95">
        <f>'DOE25'!J48</f>
        <v>62041.35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74161.63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144090.63</v>
      </c>
      <c r="D50" s="41">
        <f>SUM(D34:D49)</f>
        <v>5179.49</v>
      </c>
      <c r="E50" s="41">
        <f>SUM(E34:E49)</f>
        <v>-229.6</v>
      </c>
      <c r="F50" s="41">
        <f>SUM(F34:F49)</f>
        <v>0</v>
      </c>
      <c r="G50" s="41">
        <f>SUM(G34:G49)</f>
        <v>62041.35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177740.14</v>
      </c>
      <c r="D51" s="41">
        <f>D50+D31</f>
        <v>11253.189999999999</v>
      </c>
      <c r="E51" s="41">
        <f>E50+E31</f>
        <v>5393.6</v>
      </c>
      <c r="F51" s="41">
        <f>F50+F31</f>
        <v>0</v>
      </c>
      <c r="G51" s="41">
        <f>G50+G31</f>
        <v>62041.35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3646631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518458.15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10.16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6.22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48742.29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343182.98</v>
      </c>
      <c r="D61" s="95">
        <f>SUM('DOE25'!G98:G110)</f>
        <v>0</v>
      </c>
      <c r="E61" s="95">
        <f>SUM('DOE25'!H98:H110)</f>
        <v>7288.13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861651.29</v>
      </c>
      <c r="D62" s="130">
        <f>SUM(D57:D61)</f>
        <v>48742.29</v>
      </c>
      <c r="E62" s="130">
        <f>SUM(E57:E61)</f>
        <v>7288.13</v>
      </c>
      <c r="F62" s="130">
        <f>SUM(F57:F61)</f>
        <v>0</v>
      </c>
      <c r="G62" s="130">
        <f>SUM(G57:G61)</f>
        <v>6.22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4508282.29</v>
      </c>
      <c r="D63" s="22">
        <f>D56+D62</f>
        <v>48742.29</v>
      </c>
      <c r="E63" s="22">
        <f>E56+E62</f>
        <v>7288.13</v>
      </c>
      <c r="F63" s="22">
        <f>F56+F62</f>
        <v>0</v>
      </c>
      <c r="G63" s="22">
        <f>G56+G62</f>
        <v>6.22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2206971.1800000002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645213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2852184.18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420000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114607.52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1710.36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534607.52</v>
      </c>
      <c r="D78" s="130">
        <f>SUM(D72:D77)</f>
        <v>1710.36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3386791.7</v>
      </c>
      <c r="D81" s="130">
        <f>SUM(D79:D80)+D78+D70</f>
        <v>1710.36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161715.74</v>
      </c>
      <c r="D88" s="95">
        <f>SUM('DOE25'!G153:G161)</f>
        <v>119404.12</v>
      </c>
      <c r="E88" s="95">
        <f>SUM('DOE25'!H153:H161)</f>
        <v>165874.22999999998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2658.55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164374.28999999998</v>
      </c>
      <c r="D91" s="131">
        <f>SUM(D85:D90)</f>
        <v>119404.12</v>
      </c>
      <c r="E91" s="131">
        <f>SUM(E85:E90)</f>
        <v>165874.22999999998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8059448.2800000003</v>
      </c>
      <c r="D104" s="86">
        <f>D63+D81+D91+D103</f>
        <v>169856.77</v>
      </c>
      <c r="E104" s="86">
        <f>E63+E81+E91+E103</f>
        <v>173162.36</v>
      </c>
      <c r="F104" s="86">
        <f>F63+F81+F91+F103</f>
        <v>0</v>
      </c>
      <c r="G104" s="86">
        <f>G63+G81+G103</f>
        <v>6.22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3085559.3000000003</v>
      </c>
      <c r="D109" s="24" t="s">
        <v>289</v>
      </c>
      <c r="E109" s="95">
        <f>('DOE25'!L276)+('DOE25'!L295)+('DOE25'!L314)</f>
        <v>88777.76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1661196.9400000002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158750.04999999999</v>
      </c>
      <c r="D112" s="24" t="s">
        <v>289</v>
      </c>
      <c r="E112" s="95">
        <f>+('DOE25'!L279)+('DOE25'!L298)+('DOE25'!L317)</f>
        <v>15593.91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95506.739999999991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5001013.03</v>
      </c>
      <c r="D115" s="86">
        <f>SUM(D109:D114)</f>
        <v>0</v>
      </c>
      <c r="E115" s="86">
        <f>SUM(E109:E114)</f>
        <v>104371.67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621842.09</v>
      </c>
      <c r="D118" s="24" t="s">
        <v>289</v>
      </c>
      <c r="E118" s="95">
        <f>+('DOE25'!L281)+('DOE25'!L300)+('DOE25'!L319)</f>
        <v>37855.54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148211.62</v>
      </c>
      <c r="D119" s="24" t="s">
        <v>289</v>
      </c>
      <c r="E119" s="95">
        <f>+('DOE25'!L282)+('DOE25'!L301)+('DOE25'!L320)</f>
        <v>1883.5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328901.79000000004</v>
      </c>
      <c r="D120" s="24" t="s">
        <v>289</v>
      </c>
      <c r="E120" s="95">
        <f>+('DOE25'!L283)+('DOE25'!L302)+('DOE25'!L321)</f>
        <v>8317.7000000000007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393140.77999999997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266</v>
      </c>
      <c r="D122" s="24" t="s">
        <v>289</v>
      </c>
      <c r="E122" s="95">
        <f>+('DOE25'!L285)+('DOE25'!L304)+('DOE25'!L323)</f>
        <v>3136.43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588133.9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197800.06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169335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2278296.2400000002</v>
      </c>
      <c r="D128" s="86">
        <f>SUM(D118:D127)</f>
        <v>169335</v>
      </c>
      <c r="E128" s="86">
        <f>SUM(E118:E127)</f>
        <v>51193.170000000006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17597.52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700000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28558.83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6.22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-6.22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728558.83</v>
      </c>
      <c r="D144" s="141">
        <f>SUM(D130:D143)</f>
        <v>0</v>
      </c>
      <c r="E144" s="141">
        <f>SUM(E130:E143)</f>
        <v>17597.52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8007868.1000000006</v>
      </c>
      <c r="D145" s="86">
        <f>(D115+D128+D144)</f>
        <v>169335</v>
      </c>
      <c r="E145" s="86">
        <f>(E115+E128+E144)</f>
        <v>173162.36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3494639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2.69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1400000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1400000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700000</v>
      </c>
    </row>
    <row r="159" spans="1:9" x14ac:dyDescent="0.2">
      <c r="A159" s="22" t="s">
        <v>35</v>
      </c>
      <c r="B159" s="137">
        <f>'DOE25'!F498</f>
        <v>700000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700000</v>
      </c>
    </row>
    <row r="160" spans="1:9" x14ac:dyDescent="0.2">
      <c r="A160" s="22" t="s">
        <v>36</v>
      </c>
      <c r="B160" s="137">
        <f>'DOE25'!F499</f>
        <v>9467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9467</v>
      </c>
    </row>
    <row r="161" spans="1:7" x14ac:dyDescent="0.2">
      <c r="A161" s="22" t="s">
        <v>37</v>
      </c>
      <c r="B161" s="137">
        <f>'DOE25'!F500</f>
        <v>709467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709467</v>
      </c>
    </row>
    <row r="162" spans="1:7" x14ac:dyDescent="0.2">
      <c r="A162" s="22" t="s">
        <v>38</v>
      </c>
      <c r="B162" s="137">
        <f>'DOE25'!F501</f>
        <v>700000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700000</v>
      </c>
    </row>
    <row r="163" spans="1:7" x14ac:dyDescent="0.2">
      <c r="A163" s="22" t="s">
        <v>39</v>
      </c>
      <c r="B163" s="137">
        <f>'DOE25'!F502</f>
        <v>9467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9467</v>
      </c>
    </row>
    <row r="164" spans="1:7" x14ac:dyDescent="0.2">
      <c r="A164" s="22" t="s">
        <v>246</v>
      </c>
      <c r="B164" s="137">
        <f>'DOE25'!F503</f>
        <v>709467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709467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PLYMOUTH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17369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17369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3174337</v>
      </c>
      <c r="D10" s="182">
        <f>ROUND((C10/$C$28)*100,1)</f>
        <v>41.9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1661197</v>
      </c>
      <c r="D11" s="182">
        <f>ROUND((C11/$C$28)*100,1)</f>
        <v>21.9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174344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659698</v>
      </c>
      <c r="D15" s="182">
        <f t="shared" ref="D15:D27" si="0">ROUND((C15/$C$28)*100,1)</f>
        <v>8.6999999999999993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150095</v>
      </c>
      <c r="D16" s="182">
        <f t="shared" si="0"/>
        <v>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337219</v>
      </c>
      <c r="D17" s="182">
        <f t="shared" si="0"/>
        <v>4.4000000000000004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393141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3402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588134</v>
      </c>
      <c r="D20" s="182">
        <f t="shared" si="0"/>
        <v>7.8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197800</v>
      </c>
      <c r="D21" s="182">
        <f t="shared" si="0"/>
        <v>2.6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95507</v>
      </c>
      <c r="D24" s="182">
        <f t="shared" si="0"/>
        <v>1.3</v>
      </c>
    </row>
    <row r="25" spans="1:4" x14ac:dyDescent="0.2">
      <c r="A25">
        <v>5120</v>
      </c>
      <c r="B25" t="s">
        <v>720</v>
      </c>
      <c r="C25" s="179">
        <f>ROUND('DOE25'!L261+'DOE25'!L342,0)</f>
        <v>28559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120592.70999999999</v>
      </c>
      <c r="D27" s="182">
        <f t="shared" si="0"/>
        <v>1.6</v>
      </c>
    </row>
    <row r="28" spans="1:4" x14ac:dyDescent="0.2">
      <c r="B28" s="187" t="s">
        <v>723</v>
      </c>
      <c r="C28" s="180">
        <f>SUM(C10:C27)</f>
        <v>7584025.71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17598</v>
      </c>
    </row>
    <row r="30" spans="1:4" x14ac:dyDescent="0.2">
      <c r="B30" s="187" t="s">
        <v>729</v>
      </c>
      <c r="C30" s="180">
        <f>SUM(C28:C29)</f>
        <v>7601623.71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700000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3646631</v>
      </c>
      <c r="D35" s="182">
        <f t="shared" ref="D35:D40" si="1">ROUND((C35/$C$41)*100,1)</f>
        <v>43.7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868945.63999999966</v>
      </c>
      <c r="D36" s="182">
        <f t="shared" si="1"/>
        <v>10.4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2852184</v>
      </c>
      <c r="D37" s="182">
        <f t="shared" si="1"/>
        <v>34.1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536318</v>
      </c>
      <c r="D38" s="182">
        <f t="shared" si="1"/>
        <v>6.4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449653</v>
      </c>
      <c r="D39" s="182">
        <f t="shared" si="1"/>
        <v>5.4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8353731.6399999997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PLYMOUTH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2015-08-25T19:08:26Z</cp:lastPrinted>
  <dcterms:created xsi:type="dcterms:W3CDTF">1997-12-04T19:04:30Z</dcterms:created>
  <dcterms:modified xsi:type="dcterms:W3CDTF">2015-11-30T13:54:27Z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