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7470" windowHeight="46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D50" i="2" s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C16" i="10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E120" i="2" s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79" i="1"/>
  <c r="F94" i="1"/>
  <c r="F111" i="1"/>
  <c r="F112" i="1" s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21" i="10"/>
  <c r="L250" i="1"/>
  <c r="L332" i="1"/>
  <c r="L254" i="1"/>
  <c r="C25" i="10"/>
  <c r="L268" i="1"/>
  <c r="L269" i="1"/>
  <c r="L349" i="1"/>
  <c r="L350" i="1"/>
  <c r="I665" i="1"/>
  <c r="I670" i="1"/>
  <c r="F662" i="1"/>
  <c r="G662" i="1"/>
  <c r="H662" i="1"/>
  <c r="I662" i="1" s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C119" i="2"/>
  <c r="E121" i="2"/>
  <c r="E122" i="2"/>
  <c r="E123" i="2"/>
  <c r="C124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H461" i="1" s="1"/>
  <c r="H641" i="1" s="1"/>
  <c r="F461" i="1"/>
  <c r="G461" i="1"/>
  <c r="F470" i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F571" i="1" s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51" i="1"/>
  <c r="A31" i="12"/>
  <c r="C70" i="2"/>
  <c r="D62" i="2"/>
  <c r="D63" i="2" s="1"/>
  <c r="D18" i="13"/>
  <c r="C18" i="13" s="1"/>
  <c r="D15" i="13"/>
  <c r="C15" i="13" s="1"/>
  <c r="D17" i="13"/>
  <c r="C17" i="13" s="1"/>
  <c r="C91" i="2"/>
  <c r="F78" i="2"/>
  <c r="F81" i="2" s="1"/>
  <c r="D31" i="2"/>
  <c r="G157" i="2"/>
  <c r="F18" i="2"/>
  <c r="G161" i="2"/>
  <c r="G156" i="2"/>
  <c r="E103" i="2"/>
  <c r="D91" i="2"/>
  <c r="E31" i="2"/>
  <c r="G62" i="2"/>
  <c r="D19" i="13"/>
  <c r="C19" i="13" s="1"/>
  <c r="J617" i="1"/>
  <c r="E78" i="2"/>
  <c r="E81" i="2" s="1"/>
  <c r="L427" i="1"/>
  <c r="J639" i="1"/>
  <c r="J571" i="1"/>
  <c r="K571" i="1"/>
  <c r="L433" i="1"/>
  <c r="L419" i="1"/>
  <c r="D81" i="2"/>
  <c r="I169" i="1"/>
  <c r="H169" i="1"/>
  <c r="J643" i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F169" i="1"/>
  <c r="J140" i="1"/>
  <c r="I552" i="1"/>
  <c r="G22" i="2"/>
  <c r="K545" i="1"/>
  <c r="J552" i="1"/>
  <c r="C29" i="10"/>
  <c r="H140" i="1"/>
  <c r="L401" i="1"/>
  <c r="C139" i="2" s="1"/>
  <c r="L393" i="1"/>
  <c r="F22" i="13"/>
  <c r="H25" i="13"/>
  <c r="C25" i="13" s="1"/>
  <c r="J640" i="1"/>
  <c r="G192" i="1"/>
  <c r="H192" i="1"/>
  <c r="C35" i="10"/>
  <c r="L309" i="1"/>
  <c r="J655" i="1"/>
  <c r="J645" i="1"/>
  <c r="I545" i="1"/>
  <c r="J636" i="1"/>
  <c r="G36" i="2"/>
  <c r="C22" i="13"/>
  <c r="C138" i="2"/>
  <c r="H33" i="13"/>
  <c r="A40" i="12" l="1"/>
  <c r="A13" i="12"/>
  <c r="H552" i="1"/>
  <c r="G545" i="1"/>
  <c r="L529" i="1"/>
  <c r="K551" i="1"/>
  <c r="F552" i="1"/>
  <c r="K550" i="1"/>
  <c r="L524" i="1"/>
  <c r="H545" i="1"/>
  <c r="L545" i="1"/>
  <c r="K549" i="1"/>
  <c r="L560" i="1"/>
  <c r="I571" i="1"/>
  <c r="L565" i="1"/>
  <c r="L570" i="1"/>
  <c r="J644" i="1"/>
  <c r="J641" i="1"/>
  <c r="I460" i="1"/>
  <c r="I461" i="1" s="1"/>
  <c r="H642" i="1" s="1"/>
  <c r="K605" i="1"/>
  <c r="G648" i="1" s="1"/>
  <c r="J651" i="1"/>
  <c r="K598" i="1"/>
  <c r="G647" i="1" s="1"/>
  <c r="J647" i="1" s="1"/>
  <c r="J649" i="1"/>
  <c r="E62" i="2"/>
  <c r="L362" i="1"/>
  <c r="G635" i="1" s="1"/>
  <c r="J635" i="1" s="1"/>
  <c r="F661" i="1"/>
  <c r="L328" i="1"/>
  <c r="H338" i="1"/>
  <c r="H352" i="1" s="1"/>
  <c r="F338" i="1"/>
  <c r="F352" i="1" s="1"/>
  <c r="E119" i="2"/>
  <c r="E128" i="2" s="1"/>
  <c r="E115" i="2"/>
  <c r="L290" i="1"/>
  <c r="J338" i="1"/>
  <c r="J352" i="1" s="1"/>
  <c r="E63" i="2"/>
  <c r="H112" i="1"/>
  <c r="D18" i="2"/>
  <c r="I369" i="1"/>
  <c r="H634" i="1" s="1"/>
  <c r="J634" i="1" s="1"/>
  <c r="H661" i="1"/>
  <c r="D127" i="2"/>
  <c r="D128" i="2" s="1"/>
  <c r="D145" i="2" s="1"/>
  <c r="D29" i="13"/>
  <c r="C29" i="13" s="1"/>
  <c r="G661" i="1"/>
  <c r="C20" i="10"/>
  <c r="D7" i="13"/>
  <c r="C7" i="13" s="1"/>
  <c r="C15" i="10"/>
  <c r="C112" i="2"/>
  <c r="C123" i="2"/>
  <c r="D14" i="13"/>
  <c r="C14" i="13" s="1"/>
  <c r="C19" i="10"/>
  <c r="C18" i="10"/>
  <c r="K257" i="1"/>
  <c r="K271" i="1" s="1"/>
  <c r="D6" i="13"/>
  <c r="C6" i="13" s="1"/>
  <c r="L229" i="1"/>
  <c r="G660" i="1" s="1"/>
  <c r="C110" i="2"/>
  <c r="J257" i="1"/>
  <c r="J271" i="1" s="1"/>
  <c r="H257" i="1"/>
  <c r="H271" i="1" s="1"/>
  <c r="G257" i="1"/>
  <c r="G271" i="1" s="1"/>
  <c r="C10" i="10"/>
  <c r="E16" i="13"/>
  <c r="C16" i="13" s="1"/>
  <c r="C125" i="2"/>
  <c r="E13" i="13"/>
  <c r="C13" i="13" s="1"/>
  <c r="C122" i="2"/>
  <c r="C121" i="2"/>
  <c r="D12" i="13"/>
  <c r="C12" i="13" s="1"/>
  <c r="D5" i="13"/>
  <c r="C5" i="13" s="1"/>
  <c r="C109" i="2"/>
  <c r="L211" i="1"/>
  <c r="F660" i="1" s="1"/>
  <c r="C81" i="2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K552" i="1" l="1"/>
  <c r="L571" i="1"/>
  <c r="C104" i="2"/>
  <c r="E104" i="2"/>
  <c r="L338" i="1"/>
  <c r="L352" i="1" s="1"/>
  <c r="G633" i="1" s="1"/>
  <c r="J633" i="1" s="1"/>
  <c r="E145" i="2"/>
  <c r="D31" i="13"/>
  <c r="C31" i="13" s="1"/>
  <c r="I661" i="1"/>
  <c r="G664" i="1"/>
  <c r="G672" i="1" s="1"/>
  <c r="C5" i="10" s="1"/>
  <c r="H648" i="1"/>
  <c r="J648" i="1" s="1"/>
  <c r="C115" i="2"/>
  <c r="F664" i="1"/>
  <c r="F667" i="1" s="1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F672" i="1"/>
  <c r="C4" i="10" s="1"/>
  <c r="G667" i="1"/>
  <c r="G637" i="1"/>
  <c r="J637" i="1" s="1"/>
  <c r="H646" i="1"/>
  <c r="J646" i="1" s="1"/>
  <c r="C41" i="10"/>
  <c r="D38" i="10" s="1"/>
  <c r="D37" i="10" l="1"/>
  <c r="D36" i="10"/>
  <c r="D35" i="10"/>
  <c r="D40" i="10"/>
  <c r="D39" i="10"/>
  <c r="D41" i="10" l="1"/>
  <c r="L240" i="1"/>
  <c r="E8" i="13" s="1"/>
  <c r="I247" i="1"/>
  <c r="I257" i="1" s="1"/>
  <c r="I271" i="1" s="1"/>
  <c r="C8" i="13" l="1"/>
  <c r="E33" i="13"/>
  <c r="D35" i="13" s="1"/>
  <c r="C120" i="2"/>
  <c r="C128" i="2" s="1"/>
  <c r="C145" i="2" s="1"/>
  <c r="C17" i="10"/>
  <c r="L247" i="1"/>
  <c r="C28" i="10" l="1"/>
  <c r="H660" i="1"/>
  <c r="L257" i="1"/>
  <c r="L271" i="1" s="1"/>
  <c r="G632" i="1" s="1"/>
  <c r="D27" i="10" l="1"/>
  <c r="D12" i="10"/>
  <c r="D21" i="10"/>
  <c r="D10" i="10"/>
  <c r="D24" i="10"/>
  <c r="D26" i="10"/>
  <c r="D25" i="10"/>
  <c r="D20" i="10"/>
  <c r="D11" i="10"/>
  <c r="C30" i="10"/>
  <c r="D19" i="10"/>
  <c r="D15" i="10"/>
  <c r="D22" i="10"/>
  <c r="D16" i="10"/>
  <c r="D18" i="10"/>
  <c r="D13" i="10"/>
  <c r="D23" i="10"/>
  <c r="J632" i="1"/>
  <c r="H656" i="1"/>
  <c r="D17" i="10"/>
  <c r="I660" i="1"/>
  <c r="I664" i="1" s="1"/>
  <c r="H664" i="1"/>
  <c r="H667" i="1" l="1"/>
  <c r="H672" i="1"/>
  <c r="C6" i="10" s="1"/>
  <c r="D28" i="10"/>
  <c r="I667" i="1"/>
  <c r="I672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<sst xmlns="http://schemas.openxmlformats.org/spreadsheetml/2006/main" count="3956" uniqueCount="913">
  <si>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</si>
  <si>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</si>
  <si>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</si>
  <si>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</si>
  <si>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</si>
  <si>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</si>
  <si>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</si>
  <si>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</si>
  <si>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</si>
  <si>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</si>
  <si>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</si>
  <si>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</si>
  <si>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</si>
  <si>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</si>
  <si>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</si>
  <si>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</si>
  <si>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</si>
  <si>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</si>
  <si>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</si>
  <si>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</si>
  <si>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</si>
  <si>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</si>
  <si>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</si>
  <si>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</si>
  <si>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</si>
  <si>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</si>
  <si>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</si>
  <si>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</si>
  <si>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</si>
  <si>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</si>
  <si>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</si>
  <si>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</si>
  <si>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</si>
  <si>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</si>
  <si>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</si>
  <si>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</si>
  <si>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</si>
  <si>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</si>
  <si>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</si>
  <si>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</si>
  <si>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</si>
  <si>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</si>
  <si>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</si>
  <si>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</si>
  <si>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</si>
  <si>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</si>
  <si>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</si>
  <si>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</si>
  <si>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</si>
  <si>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</si>
  <si>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</si>
  <si>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</si>
  <si>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</si>
  <si>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</si>
  <si>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</si>
  <si>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</si>
  <si>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</si>
  <si>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</si>
  <si>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</si>
  <si>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</si>
  <si>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</si>
  <si>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</si>
  <si>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</si>
  <si>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</si>
  <si>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</si>
  <si>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</si>
  <si>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</si>
  <si>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</si>
  <si>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</si>
  <si>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</si>
  <si>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</si>
  <si>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</si>
  <si>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</si>
  <si>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</si>
  <si>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</si>
  <si>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</si>
  <si>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</si>
  <si>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</si>
  <si>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</si>
  <si>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</si>
  <si>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</si>
  <si>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</si>
  <si>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</si>
  <si>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</si>
  <si>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</si>
  <si>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</si>
  <si>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</si>
  <si>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</si>
  <si>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</si>
  <si>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</si>
  <si>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</si>
  <si>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</si>
  <si>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</si>
  <si>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</si>
  <si>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</si>
  <si>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</si>
  <si>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</si>
  <si>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</si>
  <si>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</si>
  <si>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</si>
  <si>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</si>
  <si>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</si>
  <si>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</si>
  <si>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</si>
  <si>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</si>
  <si>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</si>
  <si>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</si>
  <si>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</si>
  <si>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</si>
  <si>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</si>
  <si>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</si>
  <si>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</si>
  <si>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</si>
  <si>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</si>
  <si>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</si>
  <si>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</si>
  <si>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</si>
  <si>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</si>
  <si>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</si>
  <si>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</si>
  <si>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</si>
  <si>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</si>
  <si>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</si>
  <si>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</si>
  <si>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</si>
  <si>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</si>
  <si>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</si>
  <si>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</si>
  <si>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</si>
  <si>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</si>
  <si>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</si>
  <si>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</si>
  <si>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</si>
  <si>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</si>
  <si>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</si>
  <si>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</si>
  <si>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</si>
  <si>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</si>
  <si>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</si>
  <si>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</si>
  <si>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</si>
  <si>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</si>
  <si>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</si>
  <si>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</si>
  <si>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</si>
  <si>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</si>
  <si>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</si>
  <si>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</si>
  <si>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</si>
  <si>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</si>
  <si>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</si>
  <si>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</si>
  <si>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</si>
  <si>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</si>
  <si>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</si>
  <si>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</si>
  <si>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</si>
  <si>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</si>
  <si>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</si>
  <si>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</si>
  <si>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</si>
  <si>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</si>
  <si>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</si>
  <si>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</si>
  <si>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</si>
  <si>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</si>
  <si>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</si>
  <si>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</si>
  <si>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</si>
  <si>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</si>
  <si>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</si>
  <si>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</si>
  <si>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</si>
  <si>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</si>
  <si>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</si>
  <si>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</si>
  <si>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</si>
  <si>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</si>
  <si>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</si>
  <si>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</si>
  <si>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</si>
  <si>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</si>
  <si>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</si>
  <si>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</si>
  <si>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</si>
  <si>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</si>
  <si>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</si>
  <si>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</si>
  <si>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</si>
  <si>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</si>
  <si>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</si>
  <si>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</si>
  <si>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</si>
  <si>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</si>
  <si>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</si>
  <si>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</si>
  <si>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</si>
  <si>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</si>
  <si>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</si>
  <si>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</si>
  <si>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</si>
  <si>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</si>
  <si>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</si>
  <si>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</si>
  <si>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</si>
  <si>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</si>
  <si>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</si>
  <si>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</si>
  <si>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</si>
  <si>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</si>
  <si>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</si>
  <si>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</si>
  <si>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</si>
  <si>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</si>
  <si>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</si>
  <si>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</si>
  <si>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</si>
  <si>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</si>
  <si>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</si>
  <si>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</si>
  <si>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</si>
  <si>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</si>
  <si>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</si>
  <si>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</si>
  <si>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</si>
  <si>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</si>
  <si>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</si>
  <si>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</si>
  <si>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</si>
  <si>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</si>
  <si>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</si>
  <si>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</si>
  <si>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</si>
  <si>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</si>
  <si>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</si>
  <si>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</si>
  <si>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</si>
  <si>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</si>
  <si>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</si>
  <si>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</si>
  <si>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</si>
  <si>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</si>
  <si>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</si>
  <si>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</si>
  <si>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</si>
  <si>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</si>
  <si>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</si>
  <si>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</si>
  <si>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</si>
  <si>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</si>
  <si>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</si>
  <si>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</si>
  <si>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</si>
  <si>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</si>
  <si>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</si>
  <si>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</si>
  <si>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</si>
  <si>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</si>
  <si>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</si>
  <si>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</si>
  <si>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</si>
  <si>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</si>
  <si>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</si>
  <si>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</si>
  <si>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</si>
  <si>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</si>
  <si>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</si>
  <si>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</si>
  <si>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</si>
  <si>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</si>
  <si>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</si>
  <si>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</si>
  <si>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</si>
  <si>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</si>
  <si>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</si>
  <si>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</si>
  <si>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</si>
  <si>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</si>
  <si>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</si>
  <si>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</si>
  <si>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</si>
  <si>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</si>
  <si>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</si>
  <si>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</si>
  <si>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</si>
  <si>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</si>
  <si>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</si>
  <si>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</si>
  <si>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</si>
  <si>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</si>
  <si>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</si>
  <si>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</si>
  <si>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</si>
  <si>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</si>
  <si>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</si>
  <si>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</si>
  <si>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</si>
  <si>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</si>
  <si>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</si>
  <si>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</si>
  <si>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</si>
  <si>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</si>
  <si>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</si>
  <si>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</si>
  <si>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</si>
  <si>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</si>
  <si>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</si>
  <si>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</si>
  <si>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</si>
  <si>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</si>
  <si>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</si>
  <si>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</si>
  <si>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</si>
  <si>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</si>
  <si>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</si>
  <si>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</si>
  <si>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</si>
  <si>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</si>
  <si>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</si>
  <si>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</si>
  <si>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</si>
  <si>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</si>
  <si>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</si>
  <si>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</si>
  <si>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</si>
  <si>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</si>
  <si>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</si>
  <si>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</si>
  <si>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</si>
  <si>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</si>
  <si>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</si>
  <si>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</si>
  <si>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</si>
  <si>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</si>
  <si>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</si>
  <si>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</si>
  <si>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</si>
  <si>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</si>
  <si>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</si>
  <si>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</si>
  <si>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</si>
  <si>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</si>
  <si>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</si>
  <si>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</si>
  <si>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</si>
  <si>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</si>
  <si>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</si>
  <si>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</si>
  <si>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</si>
  <si>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</si>
  <si>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</si>
  <si>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</si>
  <si>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</si>
  <si>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</si>
  <si>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</si>
  <si>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</si>
  <si>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</si>
  <si>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</si>
  <si>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</si>
  <si>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</si>
  <si>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</si>
  <si>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</si>
  <si>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</si>
  <si>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</si>
  <si>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</si>
  <si>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</si>
  <si>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</si>
  <si>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</si>
  <si>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</si>
  <si>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</si>
  <si>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</si>
  <si>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</si>
  <si>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</si>
  <si>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</si>
  <si>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</si>
  <si>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</si>
  <si>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</si>
  <si>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</si>
  <si>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</si>
  <si>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</si>
  <si>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</si>
  <si>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</si>
  <si>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</si>
  <si>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</si>
  <si>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</si>
  <si>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</si>
  <si>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</si>
  <si>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</si>
  <si>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</si>
  <si>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</si>
  <si>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</si>
  <si>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</si>
  <si>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</si>
  <si>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</si>
  <si>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</si>
  <si>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</si>
  <si>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</si>
  <si>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</si>
  <si>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</si>
  <si>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</si>
  <si>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</si>
  <si>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</si>
  <si>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</si>
  <si>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</si>
  <si>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</si>
  <si>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</si>
  <si>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</si>
  <si>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</si>
  <si>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</si>
  <si>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</si>
  <si>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</si>
  <si>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</si>
  <si>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</si>
  <si>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</si>
  <si>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</si>
  <si>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</si>
  <si>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</si>
  <si>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</si>
  <si>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</si>
  <si>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</si>
  <si>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</si>
  <si>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</si>
  <si>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</si>
  <si>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</si>
  <si>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</si>
  <si>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</si>
  <si>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</si>
  <si>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</si>
  <si>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</si>
  <si>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</si>
  <si>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</si>
  <si>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</si>
  <si>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</si>
  <si>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</si>
  <si>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</si>
  <si>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</si>
  <si>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</si>
  <si>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</si>
  <si>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</si>
  <si>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</si>
  <si>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</si>
  <si>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</si>
  <si>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</si>
  <si>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</si>
  <si>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</si>
  <si>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</si>
  <si>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</si>
  <si>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</si>
  <si>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</si>
  <si>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</si>
  <si>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</si>
  <si>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</si>
  <si>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</si>
  <si>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</si>
  <si>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</si>
  <si>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</si>
  <si>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</si>
  <si>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</si>
  <si>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</si>
  <si>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</si>
  <si>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</si>
  <si>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</si>
  <si>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</si>
  <si>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</si>
  <si>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</si>
  <si>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</si>
  <si>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</si>
  <si>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</si>
  <si>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</si>
  <si>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</si>
  <si>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</si>
  <si>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</si>
  <si>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</si>
  <si>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</si>
  <si>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</si>
  <si>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</si>
  <si>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</si>
  <si>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</si>
  <si>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</si>
  <si>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</si>
  <si>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</si>
  <si>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</si>
  <si>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</si>
  <si>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</si>
  <si>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</si>
  <si>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</si>
  <si>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</si>
  <si>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</si>
  <si>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</si>
  <si>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</si>
  <si>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</si>
  <si>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</si>
  <si>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</si>
  <si>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</si>
  <si>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</si>
  <si>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</si>
  <si>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</si>
  <si>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</si>
  <si>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</si>
  <si>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</si>
  <si>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</si>
  <si>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</si>
  <si>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</si>
  <si>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</si>
  <si>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</si>
  <si>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</si>
  <si>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</si>
  <si>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</si>
  <si>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</si>
  <si>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</si>
  <si>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</si>
  <si>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</si>
  <si>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</si>
  <si>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</si>
  <si>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</si>
  <si>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</si>
  <si>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</si>
  <si>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</si>
  <si>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</si>
  <si>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</si>
  <si>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</si>
  <si>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</si>
  <si>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</si>
  <si>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</si>
  <si>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</si>
  <si>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</si>
  <si>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</si>
  <si>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</si>
  <si>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</si>
  <si>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</si>
  <si>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</si>
  <si>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</si>
  <si>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</si>
  <si>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</si>
  <si>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</si>
  <si>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</si>
  <si>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</si>
  <si>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</si>
  <si>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</si>
  <si>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</si>
  <si>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</si>
  <si>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</si>
  <si>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</si>
  <si>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</si>
  <si>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</si>
  <si>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</si>
  <si>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</si>
  <si>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</si>
  <si>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</si>
  <si>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</si>
  <si>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</si>
  <si>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</si>
  <si>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</si>
  <si>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</si>
  <si>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</si>
  <si>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</si>
  <si>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</si>
  <si>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</si>
  <si>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</si>
  <si>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</si>
  <si>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</si>
  <si>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</si>
  <si>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</si>
  <si>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</si>
  <si>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</si>
  <si>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</si>
  <si>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</si>
  <si>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</si>
  <si>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</si>
  <si>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</si>
  <si>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</si>
  <si>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</si>
  <si>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</si>
  <si>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</si>
  <si>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</si>
  <si>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</si>
  <si>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</si>
  <si>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</si>
  <si>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</si>
  <si>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</si>
  <si>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</si>
  <si>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</si>
  <si>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</si>
  <si>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</si>
  <si>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</si>
  <si>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</si>
  <si>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</si>
  <si>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</si>
  <si>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</si>
  <si>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</si>
  <si>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</si>
  <si>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</si>
  <si>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</si>
  <si>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</si>
  <si>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</si>
  <si>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</si>
  <si>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</si>
  <si>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</si>
  <si>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</si>
  <si>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</si>
  <si>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</si>
  <si>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</si>
  <si>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</si>
  <si>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</si>
  <si>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</si>
  <si>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</si>
  <si>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</si>
  <si>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</si>
  <si>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</si>
  <si>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</si>
  <si>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</si>
  <si>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</si>
  <si>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</si>
  <si>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</si>
  <si>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</si>
  <si>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</si>
  <si>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</si>
  <si>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</si>
  <si>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</si>
  <si>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</si>
  <si>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</si>
  <si>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</si>
  <si>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</si>
  <si>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</si>
  <si>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</si>
  <si>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</si>
  <si>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</si>
  <si>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</si>
  <si>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</si>
  <si>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</si>
  <si>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</si>
  <si>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</si>
  <si>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</si>
  <si>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</si>
  <si>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</si>
  <si>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</si>
  <si>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</si>
  <si>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</si>
  <si>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</si>
  <si>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</si>
  <si>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</si>
  <si>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</si>
  <si>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</si>
  <si>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</si>
  <si>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</si>
  <si>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</si>
  <si>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</si>
  <si>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</si>
  <si>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</si>
  <si>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</si>
  <si>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</si>
  <si>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</si>
  <si>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</si>
  <si>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</si>
  <si>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</si>
  <si>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</si>
  <si>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</si>
  <si>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</si>
  <si>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</si>
  <si>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</si>
  <si>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</si>
  <si>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</si>
  <si>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</si>
  <si>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</si>
  <si>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</si>
  <si>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</si>
  <si>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</si>
  <si>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</si>
  <si>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</si>
  <si>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</si>
  <si>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</si>
  <si>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</si>
  <si>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</si>
  <si>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</si>
  <si>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</si>
  <si>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</si>
  <si>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</si>
  <si>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</si>
  <si>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</si>
  <si>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</si>
  <si>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</si>
  <si>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</si>
  <si>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</si>
  <si>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</si>
  <si>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</si>
  <si>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</si>
  <si>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</si>
  <si>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</si>
  <si>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</si>
  <si>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</si>
  <si>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</si>
  <si>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</si>
  <si>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</si>
  <si>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</si>
  <si>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</si>
  <si>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</si>
  <si>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</si>
  <si>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</si>
  <si>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</si>
  <si>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</si>
  <si>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</si>
  <si>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</si>
  <si>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</si>
  <si>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</si>
  <si>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</si>
  <si>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</si>
  <si>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</si>
  <si>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</si>
  <si>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</si>
  <si>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</si>
  <si>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</si>
  <si>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</si>
  <si>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</si>
  <si>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</si>
  <si>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</si>
  <si>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</si>
  <si>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</si>
  <si>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</si>
  <si>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</si>
  <si>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</si>
  <si>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</si>
  <si>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</si>
  <si>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</si>
  <si>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</si>
  <si>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</si>
  <si>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</si>
  <si>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</si>
  <si>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</si>
  <si>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</si>
  <si>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</si>
  <si>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</si>
  <si>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</si>
  <si>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</si>
  <si>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</si>
  <si>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</si>
  <si>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</si>
  <si>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</si>
  <si>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</si>
  <si>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</si>
  <si>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</si>
  <si>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</si>
  <si>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</si>
  <si>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</si>
  <si>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</si>
  <si>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</si>
  <si>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</si>
  <si>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</si>
  <si>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</si>
  <si>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</si>
  <si>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</si>
  <si>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</si>
  <si>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</si>
  <si>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</si>
  <si>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</si>
  <si>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</si>
  <si>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</si>
  <si>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</si>
  <si>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</si>
  <si>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</si>
  <si>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</si>
  <si>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</si>
  <si>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</si>
  <si>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</si>
  <si>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</si>
  <si>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</si>
  <si>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</si>
  <si>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</si>
  <si>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</si>
  <si>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</si>
  <si>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</si>
  <si>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</si>
  <si>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</si>
  <si>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</si>
  <si>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</si>
  <si>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</si>
  <si>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</si>
  <si>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</si>
  <si>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</si>
  <si>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</si>
  <si>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</si>
  <si>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</si>
  <si>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</si>
  <si>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</si>
  <si>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</si>
  <si>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</si>
  <si>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</si>
  <si>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</si>
  <si>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</si>
  <si>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</si>
  <si>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</si>
  <si>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</si>
  <si>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</si>
  <si>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</si>
  <si>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</si>
  <si>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</si>
  <si>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</si>
  <si>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</si>
  <si>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</si>
  <si>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</si>
  <si>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</si>
  <si>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</si>
  <si>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</si>
  <si>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</si>
  <si>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</si>
  <si>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</si>
  <si>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</si>
  <si>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</si>
  <si>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</si>
  <si>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</si>
  <si>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</si>
  <si>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</si>
  <si>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</si>
  <si>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</si>
  <si>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</si>
  <si>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</si>
  <si>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</si>
  <si>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</si>
  <si>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</si>
  <si>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</si>
  <si>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</si>
  <si>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</si>
  <si>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</si>
  <si>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</si>
  <si>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</si>
  <si>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</si>
  <si>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</si>
  <si>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</si>
  <si>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</si>
  <si>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</si>
  <si>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</si>
  <si>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</si>
  <si>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</si>
  <si>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</si>
  <si>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</si>
  <si>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</si>
  <si>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</si>
  <si>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</si>
  <si>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</si>
  <si>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</si>
  <si>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</si>
  <si>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</si>
  <si>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</si>
  <si>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</si>
  <si>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</si>
  <si>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</si>
  <si>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</si>
  <si>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</si>
  <si>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</si>
  <si>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</si>
  <si>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</si>
  <si>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</si>
  <si>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</si>
  <si>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</si>
  <si>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</si>
  <si>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</si>
  <si>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</si>
  <si>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</si>
  <si>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</si>
  <si>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</si>
  <si>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</si>
  <si>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</si>
  <si>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</si>
  <si>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</si>
  <si>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</si>
  <si>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</si>
  <si>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</si>
  <si>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</si>
  <si>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</si>
  <si>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</si>
  <si>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</si>
  <si>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</si>
  <si>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</si>
  <si>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</si>
  <si>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</si>
  <si>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</si>
  <si>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</si>
  <si>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</si>
  <si>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</si>
  <si>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</si>
  <si>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</si>
  <si>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</si>
  <si>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</si>
  <si>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</si>
  <si>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</si>
  <si>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</si>
  <si>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</si>
  <si>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</si>
  <si>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</si>
  <si>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</si>
  <si>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</si>
  <si>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</si>
  <si>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</si>
  <si>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</si>
  <si>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</si>
  <si>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</si>
  <si>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</si>
  <si>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</si>
  <si>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</si>
  <si>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</si>
  <si>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</si>
  <si>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</si>
  <si>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</si>
  <si>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</si>
  <si>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</si>
  <si>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</si>
  <si>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</si>
  <si>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</si>
  <si>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</si>
  <si>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</si>
  <si>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</si>
  <si>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</si>
  <si>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Scholarship Trust Funds</t>
  </si>
  <si>
    <t>Portsmouth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</si>
</sst>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449</v>
      </c>
      <c r="C2" s="21">
        <v>449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>
        <v>1437.4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80348.84</v>
      </c>
      <c r="H12" s="18">
        <v>132034.29999999999</v>
      </c>
      <c r="I12" s="18"/>
      <c r="J12" s="67">
        <f>SUM(I441)</f>
        <v>5213739.7300000004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23177.41</v>
      </c>
      <c r="H13" s="18">
        <v>468082.2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32539.09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137502.74</v>
      </c>
      <c r="H19" s="41">
        <f>SUM(H9:H18)</f>
        <v>600116.5</v>
      </c>
      <c r="I19" s="41">
        <f>SUM(I9:I18)</f>
        <v>0</v>
      </c>
      <c r="J19" s="41">
        <f>SUM(J9:J18)</f>
        <v>5213739.7300000004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v>305.87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42096.75</v>
      </c>
      <c r="H30" s="18">
        <v>1488.68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92780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134876.75</v>
      </c>
      <c r="H32" s="41">
        <f>SUM(H22:H31)</f>
        <v>1794.5500000000002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5113948.09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99791.64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2625.99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598321.94999999995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2625.99</v>
      </c>
      <c r="H51" s="41">
        <f>SUM(H35:H50)</f>
        <v>598321.94999999995</v>
      </c>
      <c r="I51" s="41">
        <f>SUM(I35:I50)</f>
        <v>0</v>
      </c>
      <c r="J51" s="41">
        <f>SUM(J35:J50)</f>
        <v>5213739.7299999995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137502.74</v>
      </c>
      <c r="H52" s="41">
        <f>H51+H32</f>
        <v>600116.5</v>
      </c>
      <c r="I52" s="41">
        <f>I51+I32</f>
        <v>0</v>
      </c>
      <c r="J52" s="41">
        <f>J51+J32</f>
        <v>5213739.7299999995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23647055.530000001</v>
      </c>
      <c r="G57" s="18"/>
      <c r="H57" s="18">
        <v>229455.54</v>
      </c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23647055.530000001</v>
      </c>
      <c r="G60" s="41">
        <f>SUM(G57:G59)</f>
        <v>0</v>
      </c>
      <c r="H60" s="41">
        <f>SUM(H57:H59)</f>
        <v>229455.54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23697.27</v>
      </c>
      <c r="G63" s="24" t="s">
        <v>289</v>
      </c>
      <c r="H63" s="18">
        <v>64946.61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5985744.0700000003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>
        <v>657662.15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6009441.3399999999</v>
      </c>
      <c r="G79" s="45" t="s">
        <v>289</v>
      </c>
      <c r="H79" s="41">
        <f>SUM(H63:H78)</f>
        <v>722608.76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154529.20000000001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420838.19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11218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20692.5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107604.28</v>
      </c>
      <c r="I102" s="18"/>
      <c r="J102" s="18">
        <v>6475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>
        <v>83644.899999999994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20692.5</v>
      </c>
      <c r="G111" s="41">
        <f>SUM(G96:G110)</f>
        <v>420838.19</v>
      </c>
      <c r="H111" s="41">
        <f>SUM(H96:H110)</f>
        <v>202467.18</v>
      </c>
      <c r="I111" s="41">
        <f>SUM(I96:I110)</f>
        <v>0</v>
      </c>
      <c r="J111" s="41">
        <f>SUM(J96:J110)</f>
        <v>161004.20000000001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29677189.370000001</v>
      </c>
      <c r="G112" s="41">
        <f>G60+G111</f>
        <v>420838.19</v>
      </c>
      <c r="H112" s="41">
        <f>H60+H79+H94+H111</f>
        <v>1154531.48</v>
      </c>
      <c r="I112" s="41">
        <f>I60+I111</f>
        <v>0</v>
      </c>
      <c r="J112" s="41">
        <f>J60+J111</f>
        <v>161004.20000000001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10129725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10129725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1770305.56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229455.54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8534.76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1999761.1</v>
      </c>
      <c r="G136" s="41">
        <f>SUM(G123:G135)</f>
        <v>8534.76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12129486.1</v>
      </c>
      <c r="G140" s="41">
        <f>G121+SUM(G136:G137)</f>
        <v>8534.76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600589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298106.65000000002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54614.67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310893.99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527691.27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>
        <v>663841.67000000004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28688.86</v>
      </c>
      <c r="H161" s="18">
        <v>132835.47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339582.85</v>
      </c>
      <c r="H162" s="41">
        <f>SUM(H150:H161)</f>
        <v>2277678.7300000004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339582.85</v>
      </c>
      <c r="H169" s="41">
        <f>H147+H162+SUM(H163:H168)</f>
        <v>2277678.7300000004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80348.84</v>
      </c>
      <c r="H179" s="18">
        <v>760176</v>
      </c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80348.84</v>
      </c>
      <c r="H183" s="41">
        <f>SUM(H179:H182)</f>
        <v>760176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80348.84</v>
      </c>
      <c r="H192" s="41">
        <f>+H183+SUM(H188:H191)</f>
        <v>760176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41806675.469999999</v>
      </c>
      <c r="G193" s="47">
        <f>G112+G140+G169+G192</f>
        <v>849304.64</v>
      </c>
      <c r="H193" s="47">
        <f>H112+H140+H169+H192</f>
        <v>4192386.2100000004</v>
      </c>
      <c r="I193" s="47">
        <f>I112+I140+I169+I192</f>
        <v>0</v>
      </c>
      <c r="J193" s="47">
        <f>J112+J140+J192</f>
        <v>161004.20000000001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5126939.47</v>
      </c>
      <c r="G197" s="18">
        <v>2589061.5299999998</v>
      </c>
      <c r="H197" s="18">
        <v>45121.14</v>
      </c>
      <c r="I197" s="18">
        <v>159468.24</v>
      </c>
      <c r="J197" s="18">
        <v>17364.27</v>
      </c>
      <c r="K197" s="18"/>
      <c r="L197" s="19">
        <f>SUM(F197:K197)</f>
        <v>7937954.6499999994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1152277.08</v>
      </c>
      <c r="G198" s="18">
        <v>549120.12</v>
      </c>
      <c r="H198" s="18">
        <v>225263.51</v>
      </c>
      <c r="I198" s="18">
        <v>1903.09</v>
      </c>
      <c r="J198" s="18">
        <v>199.95</v>
      </c>
      <c r="K198" s="18"/>
      <c r="L198" s="19">
        <f>SUM(F198:K198)</f>
        <v>1928763.7500000002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39678</v>
      </c>
      <c r="G200" s="18">
        <v>19754.07</v>
      </c>
      <c r="H200" s="18">
        <v>1680</v>
      </c>
      <c r="I200" s="18"/>
      <c r="J200" s="18"/>
      <c r="K200" s="18"/>
      <c r="L200" s="19">
        <f>SUM(F200:K200)</f>
        <v>61112.07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1556164.94</v>
      </c>
      <c r="G202" s="18">
        <v>784368.62</v>
      </c>
      <c r="H202" s="18">
        <v>27671.34</v>
      </c>
      <c r="I202" s="18">
        <v>25702.06</v>
      </c>
      <c r="J202" s="18">
        <v>838.11</v>
      </c>
      <c r="K202" s="18">
        <v>3183</v>
      </c>
      <c r="L202" s="19">
        <f t="shared" ref="L202:L208" si="0">SUM(F202:K202)</f>
        <v>2397928.0699999998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298880.64000000001</v>
      </c>
      <c r="G203" s="18">
        <v>153847.29999999999</v>
      </c>
      <c r="H203" s="18">
        <v>4989.49</v>
      </c>
      <c r="I203" s="18">
        <v>31790.85</v>
      </c>
      <c r="J203" s="18">
        <v>47749.760000000002</v>
      </c>
      <c r="K203" s="18"/>
      <c r="L203" s="19">
        <f t="shared" si="0"/>
        <v>537258.03999999992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172724.09</v>
      </c>
      <c r="G204" s="18">
        <v>84862.09</v>
      </c>
      <c r="H204" s="18">
        <v>48799.9</v>
      </c>
      <c r="I204" s="18">
        <v>1994.69</v>
      </c>
      <c r="J204" s="18">
        <v>341.4</v>
      </c>
      <c r="K204" s="18">
        <v>21297.41</v>
      </c>
      <c r="L204" s="19">
        <f t="shared" si="0"/>
        <v>330019.58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530652.16000000003</v>
      </c>
      <c r="G205" s="18">
        <v>271138.95</v>
      </c>
      <c r="H205" s="18">
        <v>2295.56</v>
      </c>
      <c r="I205" s="18">
        <v>1741.29</v>
      </c>
      <c r="J205" s="18"/>
      <c r="K205" s="18"/>
      <c r="L205" s="19">
        <f t="shared" si="0"/>
        <v>805827.9600000002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103212.48</v>
      </c>
      <c r="G206" s="18">
        <v>50973.77</v>
      </c>
      <c r="H206" s="18">
        <v>68354.06</v>
      </c>
      <c r="I206" s="18">
        <v>25.48</v>
      </c>
      <c r="J206" s="18"/>
      <c r="K206" s="18">
        <v>470.61</v>
      </c>
      <c r="L206" s="19">
        <f t="shared" si="0"/>
        <v>223036.4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469197.68</v>
      </c>
      <c r="G207" s="18">
        <v>230798.45</v>
      </c>
      <c r="H207" s="18">
        <v>244597.46</v>
      </c>
      <c r="I207" s="18">
        <v>253053.99</v>
      </c>
      <c r="J207" s="18">
        <v>32900.050000000003</v>
      </c>
      <c r="K207" s="18">
        <v>3842.49</v>
      </c>
      <c r="L207" s="19">
        <f t="shared" si="0"/>
        <v>1234390.1200000001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345842.53</v>
      </c>
      <c r="I208" s="18"/>
      <c r="J208" s="18"/>
      <c r="K208" s="18"/>
      <c r="L208" s="19">
        <f t="shared" si="0"/>
        <v>345842.53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184494.94</v>
      </c>
      <c r="G209" s="18">
        <v>92336.1</v>
      </c>
      <c r="H209" s="18">
        <v>14241.9</v>
      </c>
      <c r="I209" s="18">
        <v>29384.58</v>
      </c>
      <c r="J209" s="18"/>
      <c r="K209" s="18">
        <v>791.96</v>
      </c>
      <c r="L209" s="19">
        <f>SUM(F209:K209)</f>
        <v>321249.4800000001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9634221.4799999986</v>
      </c>
      <c r="G211" s="41">
        <f t="shared" si="1"/>
        <v>4826260.9999999991</v>
      </c>
      <c r="H211" s="41">
        <f t="shared" si="1"/>
        <v>1028856.8900000001</v>
      </c>
      <c r="I211" s="41">
        <f t="shared" si="1"/>
        <v>505064.27</v>
      </c>
      <c r="J211" s="41">
        <f t="shared" si="1"/>
        <v>99393.54</v>
      </c>
      <c r="K211" s="41">
        <f t="shared" si="1"/>
        <v>29585.47</v>
      </c>
      <c r="L211" s="41">
        <f t="shared" si="1"/>
        <v>16123382.65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2504265.19</v>
      </c>
      <c r="G215" s="18">
        <v>1274321.2</v>
      </c>
      <c r="H215" s="18">
        <v>4295.92</v>
      </c>
      <c r="I215" s="18">
        <v>96581.46</v>
      </c>
      <c r="J215" s="18">
        <v>1200</v>
      </c>
      <c r="K215" s="18"/>
      <c r="L215" s="19">
        <f>SUM(F215:K215)</f>
        <v>3880663.7699999996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691885.17</v>
      </c>
      <c r="G216" s="18">
        <v>344372.7</v>
      </c>
      <c r="H216" s="18">
        <v>79713.42</v>
      </c>
      <c r="I216" s="18">
        <v>780.1</v>
      </c>
      <c r="J216" s="18">
        <v>618</v>
      </c>
      <c r="K216" s="18"/>
      <c r="L216" s="19">
        <f>SUM(F216:K216)</f>
        <v>1117369.3900000001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367875.97</v>
      </c>
      <c r="G217" s="18">
        <v>193714.06</v>
      </c>
      <c r="H217" s="18"/>
      <c r="I217" s="18">
        <v>4313.1099999999997</v>
      </c>
      <c r="J217" s="18">
        <v>1174.79</v>
      </c>
      <c r="K217" s="18"/>
      <c r="L217" s="19">
        <f>SUM(F217:K217)</f>
        <v>567077.93000000005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71264</v>
      </c>
      <c r="G218" s="18">
        <v>33086.639999999999</v>
      </c>
      <c r="H218" s="18">
        <v>7871</v>
      </c>
      <c r="I218" s="18">
        <v>12337.16</v>
      </c>
      <c r="J218" s="18"/>
      <c r="K218" s="18"/>
      <c r="L218" s="19">
        <f>SUM(F218:K218)</f>
        <v>124558.8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477160.64</v>
      </c>
      <c r="G220" s="18">
        <v>248604.22</v>
      </c>
      <c r="H220" s="18">
        <v>10025.9</v>
      </c>
      <c r="I220" s="18">
        <v>3582.9</v>
      </c>
      <c r="J220" s="18">
        <v>427.18</v>
      </c>
      <c r="K220" s="18"/>
      <c r="L220" s="19">
        <f t="shared" ref="L220:L226" si="2">SUM(F220:K220)</f>
        <v>739800.84000000008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81082.850000000006</v>
      </c>
      <c r="G221" s="18">
        <v>31145.21</v>
      </c>
      <c r="H221" s="18">
        <v>2543.13</v>
      </c>
      <c r="I221" s="18">
        <v>15688.58</v>
      </c>
      <c r="J221" s="18">
        <v>24893.9</v>
      </c>
      <c r="K221" s="18"/>
      <c r="L221" s="19">
        <f t="shared" si="2"/>
        <v>155353.67000000001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87405.61</v>
      </c>
      <c r="G222" s="18">
        <v>43043.65</v>
      </c>
      <c r="H222" s="18">
        <v>24857.98</v>
      </c>
      <c r="I222" s="18">
        <v>1016.69</v>
      </c>
      <c r="J222" s="18">
        <v>174.01</v>
      </c>
      <c r="K222" s="18">
        <v>11355.24</v>
      </c>
      <c r="L222" s="19">
        <f t="shared" si="2"/>
        <v>167853.18000000002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287306.01</v>
      </c>
      <c r="G223" s="18">
        <v>148884.44</v>
      </c>
      <c r="H223" s="18">
        <v>2103.1</v>
      </c>
      <c r="I223" s="18">
        <v>2247.25</v>
      </c>
      <c r="J223" s="18"/>
      <c r="K223" s="18">
        <v>787.5</v>
      </c>
      <c r="L223" s="19">
        <f t="shared" si="2"/>
        <v>441328.3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52607.16</v>
      </c>
      <c r="G224" s="18">
        <v>25981.22</v>
      </c>
      <c r="H224" s="18">
        <v>38617.64</v>
      </c>
      <c r="I224" s="18">
        <v>12.99</v>
      </c>
      <c r="J224" s="18"/>
      <c r="K224" s="18">
        <v>239.87</v>
      </c>
      <c r="L224" s="19">
        <f t="shared" si="2"/>
        <v>117458.88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289495.63</v>
      </c>
      <c r="G225" s="18">
        <v>139564.85999999999</v>
      </c>
      <c r="H225" s="18">
        <v>109080.85</v>
      </c>
      <c r="I225" s="18">
        <v>263001.69</v>
      </c>
      <c r="J225" s="18">
        <v>18809.009999999998</v>
      </c>
      <c r="K225" s="18">
        <v>1958.51</v>
      </c>
      <c r="L225" s="19">
        <f t="shared" si="2"/>
        <v>821910.55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201128.81</v>
      </c>
      <c r="I226" s="18"/>
      <c r="J226" s="18"/>
      <c r="K226" s="18"/>
      <c r="L226" s="19">
        <f t="shared" si="2"/>
        <v>201128.81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94036.65</v>
      </c>
      <c r="G227" s="18">
        <v>47063.5</v>
      </c>
      <c r="H227" s="18">
        <v>7259.07</v>
      </c>
      <c r="I227" s="18">
        <v>14977.26</v>
      </c>
      <c r="J227" s="18"/>
      <c r="K227" s="18">
        <v>403.66</v>
      </c>
      <c r="L227" s="19">
        <f>SUM(F227:K227)</f>
        <v>163740.14000000001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5004384.8800000008</v>
      </c>
      <c r="G229" s="41">
        <f>SUM(G215:G228)</f>
        <v>2529781.6999999997</v>
      </c>
      <c r="H229" s="41">
        <f>SUM(H215:H228)</f>
        <v>487496.81999999995</v>
      </c>
      <c r="I229" s="41">
        <f>SUM(I215:I228)</f>
        <v>414539.19</v>
      </c>
      <c r="J229" s="41">
        <f>SUM(J215:J228)</f>
        <v>47296.89</v>
      </c>
      <c r="K229" s="41">
        <f t="shared" si="3"/>
        <v>14744.78</v>
      </c>
      <c r="L229" s="41">
        <f t="shared" si="3"/>
        <v>8498244.2599999979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4871951.87</v>
      </c>
      <c r="G233" s="18">
        <v>2482133.5299999998</v>
      </c>
      <c r="H233" s="18">
        <v>15470.18</v>
      </c>
      <c r="I233" s="18">
        <v>121810.85</v>
      </c>
      <c r="J233" s="18">
        <v>23252.17</v>
      </c>
      <c r="K233" s="18">
        <v>1800</v>
      </c>
      <c r="L233" s="19">
        <f>SUM(F233:K233)</f>
        <v>7516418.5999999996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595170.52</v>
      </c>
      <c r="G234" s="18">
        <v>302102.49</v>
      </c>
      <c r="H234" s="18">
        <v>692344.85</v>
      </c>
      <c r="I234" s="18">
        <v>2440.77</v>
      </c>
      <c r="J234" s="18"/>
      <c r="K234" s="18"/>
      <c r="L234" s="19">
        <f>SUM(F234:K234)</f>
        <v>1592058.63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392670.04</v>
      </c>
      <c r="G235" s="18">
        <v>206359.19</v>
      </c>
      <c r="H235" s="18">
        <v>11390.67</v>
      </c>
      <c r="I235" s="18">
        <v>28131.02</v>
      </c>
      <c r="J235" s="18">
        <v>4791.84</v>
      </c>
      <c r="K235" s="18"/>
      <c r="L235" s="19">
        <f>SUM(F235:K235)</f>
        <v>643342.76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266374.8</v>
      </c>
      <c r="G236" s="18">
        <v>119334.02</v>
      </c>
      <c r="H236" s="18">
        <v>82436.179999999993</v>
      </c>
      <c r="I236" s="18">
        <v>77027.839999999997</v>
      </c>
      <c r="J236" s="18"/>
      <c r="K236" s="18"/>
      <c r="L236" s="19">
        <f>SUM(F236:K236)</f>
        <v>545172.84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996387.24</v>
      </c>
      <c r="G238" s="18">
        <v>504582.68</v>
      </c>
      <c r="H238" s="18">
        <v>28378.95</v>
      </c>
      <c r="I238" s="18">
        <v>3987.64</v>
      </c>
      <c r="J238" s="18">
        <v>851.24</v>
      </c>
      <c r="K238" s="18">
        <v>9888.11</v>
      </c>
      <c r="L238" s="19">
        <f t="shared" ref="L238:L244" si="4">SUM(F238:K238)</f>
        <v>1544075.8599999999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54513.96</v>
      </c>
      <c r="G239" s="18">
        <v>28728.2</v>
      </c>
      <c r="H239" s="18">
        <v>8847.23</v>
      </c>
      <c r="I239" s="18">
        <v>16096.03</v>
      </c>
      <c r="J239" s="18">
        <v>52047.86</v>
      </c>
      <c r="K239" s="18">
        <v>286</v>
      </c>
      <c r="L239" s="19">
        <f t="shared" si="4"/>
        <v>160519.28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397059.59</v>
      </c>
      <c r="G240" s="18">
        <v>198928.11</v>
      </c>
      <c r="H240" s="18">
        <v>57268.03</v>
      </c>
      <c r="I240" s="18">
        <v>2025.94</v>
      </c>
      <c r="J240" s="18">
        <v>346.75</v>
      </c>
      <c r="K240" s="18">
        <v>36265.53</v>
      </c>
      <c r="L240" s="19">
        <f t="shared" si="4"/>
        <v>691893.95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511099.52</v>
      </c>
      <c r="G241" s="18">
        <v>262414.03000000003</v>
      </c>
      <c r="H241" s="18">
        <v>62710.36</v>
      </c>
      <c r="I241" s="18">
        <v>2815.68</v>
      </c>
      <c r="J241" s="18">
        <v>1359</v>
      </c>
      <c r="K241" s="18">
        <v>3815</v>
      </c>
      <c r="L241" s="19">
        <f t="shared" si="4"/>
        <v>844213.59000000008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104829.51</v>
      </c>
      <c r="G242" s="18">
        <v>52048.67</v>
      </c>
      <c r="H242" s="18">
        <v>73688.5</v>
      </c>
      <c r="I242" s="18">
        <v>25.88</v>
      </c>
      <c r="J242" s="18"/>
      <c r="K242" s="18">
        <v>477.98</v>
      </c>
      <c r="L242" s="19">
        <f t="shared" si="4"/>
        <v>231070.54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551547.04</v>
      </c>
      <c r="G243" s="18">
        <v>271588.33</v>
      </c>
      <c r="H243" s="18">
        <v>410064.59</v>
      </c>
      <c r="I243" s="18">
        <v>577949.86</v>
      </c>
      <c r="J243" s="18">
        <v>41703.43</v>
      </c>
      <c r="K243" s="18">
        <v>3902.69</v>
      </c>
      <c r="L243" s="19">
        <f t="shared" si="4"/>
        <v>1856755.9400000002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392719.28</v>
      </c>
      <c r="I244" s="18"/>
      <c r="J244" s="18"/>
      <c r="K244" s="18"/>
      <c r="L244" s="19">
        <f t="shared" si="4"/>
        <v>392719.28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187385.44</v>
      </c>
      <c r="G245" s="18">
        <v>93782.74</v>
      </c>
      <c r="H245" s="18">
        <v>14465.02</v>
      </c>
      <c r="I245" s="18">
        <v>29844.95</v>
      </c>
      <c r="J245" s="18"/>
      <c r="K245" s="18">
        <v>804.3</v>
      </c>
      <c r="L245" s="19">
        <f>SUM(F245:K245)</f>
        <v>326282.45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8928989.5299999993</v>
      </c>
      <c r="G247" s="41">
        <f t="shared" si="5"/>
        <v>4522001.99</v>
      </c>
      <c r="H247" s="41">
        <f t="shared" si="5"/>
        <v>1849783.84</v>
      </c>
      <c r="I247" s="41">
        <f t="shared" si="5"/>
        <v>862156.46</v>
      </c>
      <c r="J247" s="41">
        <f t="shared" si="5"/>
        <v>124352.29000000001</v>
      </c>
      <c r="K247" s="41">
        <f t="shared" si="5"/>
        <v>57239.610000000008</v>
      </c>
      <c r="L247" s="41">
        <f t="shared" si="5"/>
        <v>16344523.719999995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23567595.890000001</v>
      </c>
      <c r="G257" s="41">
        <f t="shared" si="8"/>
        <v>11878044.689999999</v>
      </c>
      <c r="H257" s="41">
        <f t="shared" si="8"/>
        <v>3366137.55</v>
      </c>
      <c r="I257" s="41">
        <f t="shared" si="8"/>
        <v>1781759.92</v>
      </c>
      <c r="J257" s="41">
        <f t="shared" si="8"/>
        <v>271042.71999999997</v>
      </c>
      <c r="K257" s="41">
        <f t="shared" si="8"/>
        <v>101569.86000000002</v>
      </c>
      <c r="L257" s="41">
        <f t="shared" si="8"/>
        <v>40966150.629999995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80348.84</v>
      </c>
      <c r="L263" s="19">
        <f>SUM(F263:K263)</f>
        <v>80348.84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760176</v>
      </c>
      <c r="L264" s="19">
        <f t="shared" ref="L264:L270" si="9">SUM(F264:K264)</f>
        <v>760176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840524.84</v>
      </c>
      <c r="L270" s="41">
        <f t="shared" si="9"/>
        <v>840524.84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23567595.890000001</v>
      </c>
      <c r="G271" s="42">
        <f t="shared" si="11"/>
        <v>11878044.689999999</v>
      </c>
      <c r="H271" s="42">
        <f t="shared" si="11"/>
        <v>3366137.55</v>
      </c>
      <c r="I271" s="42">
        <f t="shared" si="11"/>
        <v>1781759.92</v>
      </c>
      <c r="J271" s="42">
        <f t="shared" si="11"/>
        <v>271042.71999999997</v>
      </c>
      <c r="K271" s="42">
        <f t="shared" si="11"/>
        <v>942094.7</v>
      </c>
      <c r="L271" s="42">
        <f t="shared" si="11"/>
        <v>41806675.469999999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164404.94</v>
      </c>
      <c r="G276" s="18">
        <v>2997.75</v>
      </c>
      <c r="H276" s="18">
        <v>5000</v>
      </c>
      <c r="I276" s="18">
        <v>3982.7</v>
      </c>
      <c r="J276" s="18"/>
      <c r="K276" s="18"/>
      <c r="L276" s="19">
        <f>SUM(F276:K276)</f>
        <v>176385.39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894056.16</v>
      </c>
      <c r="G277" s="18">
        <v>129094.93</v>
      </c>
      <c r="H277" s="18">
        <v>14519.42</v>
      </c>
      <c r="I277" s="18">
        <v>6717.56</v>
      </c>
      <c r="J277" s="18">
        <v>1837.91</v>
      </c>
      <c r="K277" s="18"/>
      <c r="L277" s="19">
        <f>SUM(F277:K277)</f>
        <v>1046225.9800000002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20747.759999999998</v>
      </c>
      <c r="G279" s="18">
        <v>3365.64</v>
      </c>
      <c r="H279" s="18">
        <v>29999.65</v>
      </c>
      <c r="I279" s="18">
        <v>11599.38</v>
      </c>
      <c r="J279" s="18">
        <v>2547.9499999999998</v>
      </c>
      <c r="K279" s="18">
        <v>51.5</v>
      </c>
      <c r="L279" s="19">
        <f>SUM(F279:K279)</f>
        <v>68311.88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450</v>
      </c>
      <c r="G281" s="18">
        <v>96.38</v>
      </c>
      <c r="H281" s="18">
        <v>25932.959999999999</v>
      </c>
      <c r="I281" s="18">
        <v>3832.63</v>
      </c>
      <c r="J281" s="18"/>
      <c r="K281" s="18">
        <v>50</v>
      </c>
      <c r="L281" s="19">
        <f t="shared" ref="L281:L287" si="12">SUM(F281:K281)</f>
        <v>30361.97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42443.91</v>
      </c>
      <c r="G282" s="18">
        <v>3270.29</v>
      </c>
      <c r="H282" s="18">
        <v>78141.919999999998</v>
      </c>
      <c r="I282" s="18">
        <v>9727.01</v>
      </c>
      <c r="J282" s="18"/>
      <c r="K282" s="18"/>
      <c r="L282" s="19">
        <f t="shared" si="12"/>
        <v>133583.13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69325.84</v>
      </c>
      <c r="G283" s="18">
        <v>14517.37</v>
      </c>
      <c r="H283" s="18">
        <v>440</v>
      </c>
      <c r="I283" s="18">
        <v>4683</v>
      </c>
      <c r="J283" s="18">
        <v>23619</v>
      </c>
      <c r="K283" s="18"/>
      <c r="L283" s="19">
        <f t="shared" si="12"/>
        <v>112585.20999999999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16433.419999999998</v>
      </c>
      <c r="I287" s="18"/>
      <c r="J287" s="18"/>
      <c r="K287" s="18"/>
      <c r="L287" s="19">
        <f t="shared" si="12"/>
        <v>16433.419999999998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1191428.6100000001</v>
      </c>
      <c r="G290" s="42">
        <f t="shared" si="13"/>
        <v>153342.36000000002</v>
      </c>
      <c r="H290" s="42">
        <f t="shared" si="13"/>
        <v>170467.37</v>
      </c>
      <c r="I290" s="42">
        <f t="shared" si="13"/>
        <v>40542.28</v>
      </c>
      <c r="J290" s="42">
        <f t="shared" si="13"/>
        <v>28004.86</v>
      </c>
      <c r="K290" s="42">
        <f t="shared" si="13"/>
        <v>101.5</v>
      </c>
      <c r="L290" s="41">
        <f t="shared" si="13"/>
        <v>1583886.98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1304.2</v>
      </c>
      <c r="J295" s="18"/>
      <c r="K295" s="18"/>
      <c r="L295" s="19">
        <f>SUM(F295:K295)</f>
        <v>1304.2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536924.05000000005</v>
      </c>
      <c r="G296" s="18">
        <v>85196.15</v>
      </c>
      <c r="H296" s="18">
        <v>7247.61</v>
      </c>
      <c r="I296" s="18">
        <v>874.67</v>
      </c>
      <c r="J296" s="18">
        <v>936.78</v>
      </c>
      <c r="K296" s="18"/>
      <c r="L296" s="19">
        <f>SUM(F296:K296)</f>
        <v>631179.26000000013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1299.18</v>
      </c>
      <c r="G298" s="18">
        <v>209.34</v>
      </c>
      <c r="H298" s="18">
        <v>729.74</v>
      </c>
      <c r="I298" s="18">
        <v>437.15</v>
      </c>
      <c r="J298" s="18">
        <v>2299</v>
      </c>
      <c r="K298" s="18"/>
      <c r="L298" s="19">
        <f>SUM(F298:K298)</f>
        <v>4974.41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1800</v>
      </c>
      <c r="G300" s="18">
        <v>384.78</v>
      </c>
      <c r="H300" s="18">
        <v>12058.41</v>
      </c>
      <c r="I300" s="18"/>
      <c r="J300" s="18"/>
      <c r="K300" s="18"/>
      <c r="L300" s="19">
        <f t="shared" ref="L300:L306" si="14">SUM(F300:K300)</f>
        <v>14243.189999999999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9346.3799999999992</v>
      </c>
      <c r="G302" s="18">
        <v>1724.17</v>
      </c>
      <c r="H302" s="18"/>
      <c r="I302" s="18">
        <v>46.95</v>
      </c>
      <c r="J302" s="18"/>
      <c r="K302" s="18"/>
      <c r="L302" s="19">
        <f t="shared" si="14"/>
        <v>11117.5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>
        <v>1689</v>
      </c>
      <c r="J305" s="18"/>
      <c r="K305" s="18"/>
      <c r="L305" s="19">
        <f t="shared" si="14"/>
        <v>1689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2526.4</v>
      </c>
      <c r="I306" s="18"/>
      <c r="J306" s="18"/>
      <c r="K306" s="18"/>
      <c r="L306" s="19">
        <f t="shared" si="14"/>
        <v>2526.4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549369.6100000001</v>
      </c>
      <c r="G309" s="42">
        <f t="shared" si="15"/>
        <v>87514.439999999988</v>
      </c>
      <c r="H309" s="42">
        <f t="shared" si="15"/>
        <v>22562.16</v>
      </c>
      <c r="I309" s="42">
        <f t="shared" si="15"/>
        <v>4351.9699999999993</v>
      </c>
      <c r="J309" s="42">
        <f t="shared" si="15"/>
        <v>3235.7799999999997</v>
      </c>
      <c r="K309" s="42">
        <f t="shared" si="15"/>
        <v>0</v>
      </c>
      <c r="L309" s="41">
        <f t="shared" si="15"/>
        <v>667033.96000000008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1304.2</v>
      </c>
      <c r="J314" s="18"/>
      <c r="K314" s="18"/>
      <c r="L314" s="19">
        <f>SUM(F314:K314)</f>
        <v>1304.2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1171697.26</v>
      </c>
      <c r="G315" s="18">
        <v>221583.34</v>
      </c>
      <c r="H315" s="18">
        <v>40701.19</v>
      </c>
      <c r="I315" s="18">
        <v>17032.47</v>
      </c>
      <c r="J315" s="18">
        <v>2816.69</v>
      </c>
      <c r="K315" s="18">
        <v>258.8</v>
      </c>
      <c r="L315" s="19">
        <f>SUM(F315:K315)</f>
        <v>1454089.75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26306.3</v>
      </c>
      <c r="G316" s="18">
        <v>4345.8900000000003</v>
      </c>
      <c r="H316" s="18">
        <v>13459.61</v>
      </c>
      <c r="I316" s="18">
        <v>4964.43</v>
      </c>
      <c r="J316" s="18">
        <v>8209</v>
      </c>
      <c r="K316" s="18"/>
      <c r="L316" s="19">
        <f>SUM(F316:K316)</f>
        <v>57285.23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6023.74</v>
      </c>
      <c r="G317" s="18">
        <v>984.29</v>
      </c>
      <c r="H317" s="18">
        <v>60999.59</v>
      </c>
      <c r="I317" s="18">
        <v>3055.83</v>
      </c>
      <c r="J317" s="18">
        <v>5472</v>
      </c>
      <c r="K317" s="18"/>
      <c r="L317" s="19">
        <f>SUM(F317:K317)</f>
        <v>76535.45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40084.03</v>
      </c>
      <c r="G319" s="18">
        <v>2276.0300000000002</v>
      </c>
      <c r="H319" s="18">
        <v>24028.61</v>
      </c>
      <c r="I319" s="18"/>
      <c r="J319" s="18"/>
      <c r="K319" s="18">
        <v>1697.18</v>
      </c>
      <c r="L319" s="19">
        <f t="shared" ref="L319:L325" si="16">SUM(F319:K319)</f>
        <v>68085.849999999991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94580.51</v>
      </c>
      <c r="G321" s="18">
        <v>16985.77</v>
      </c>
      <c r="H321" s="18"/>
      <c r="I321" s="18">
        <v>71.94</v>
      </c>
      <c r="J321" s="18"/>
      <c r="K321" s="18"/>
      <c r="L321" s="19">
        <f t="shared" si="16"/>
        <v>111638.22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97609.98</v>
      </c>
      <c r="G322" s="18">
        <v>21299.040000000001</v>
      </c>
      <c r="H322" s="18">
        <v>1058.9000000000001</v>
      </c>
      <c r="I322" s="18"/>
      <c r="J322" s="18"/>
      <c r="K322" s="18"/>
      <c r="L322" s="19">
        <f t="shared" si="16"/>
        <v>119967.91999999998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20795.95</v>
      </c>
      <c r="G324" s="18">
        <v>3713.21</v>
      </c>
      <c r="H324" s="18">
        <v>2855.52</v>
      </c>
      <c r="I324" s="18">
        <v>30631.279999999999</v>
      </c>
      <c r="J324" s="18"/>
      <c r="K324" s="18"/>
      <c r="L324" s="19">
        <f t="shared" si="16"/>
        <v>57995.96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6534.32</v>
      </c>
      <c r="I325" s="18"/>
      <c r="J325" s="18"/>
      <c r="K325" s="18"/>
      <c r="L325" s="19">
        <f t="shared" si="16"/>
        <v>6534.32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1457097.77</v>
      </c>
      <c r="G328" s="42">
        <f t="shared" si="17"/>
        <v>271187.57</v>
      </c>
      <c r="H328" s="42">
        <f t="shared" si="17"/>
        <v>149637.74</v>
      </c>
      <c r="I328" s="42">
        <f t="shared" si="17"/>
        <v>57060.149999999994</v>
      </c>
      <c r="J328" s="42">
        <f t="shared" si="17"/>
        <v>16497.690000000002</v>
      </c>
      <c r="K328" s="42">
        <f t="shared" si="17"/>
        <v>1955.98</v>
      </c>
      <c r="L328" s="41">
        <f t="shared" si="17"/>
        <v>1953436.9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3197895.99</v>
      </c>
      <c r="G338" s="41">
        <f t="shared" si="20"/>
        <v>512044.37</v>
      </c>
      <c r="H338" s="41">
        <f t="shared" si="20"/>
        <v>342667.27</v>
      </c>
      <c r="I338" s="41">
        <f t="shared" si="20"/>
        <v>101954.4</v>
      </c>
      <c r="J338" s="41">
        <f t="shared" si="20"/>
        <v>47738.33</v>
      </c>
      <c r="K338" s="41">
        <f t="shared" si="20"/>
        <v>2057.48</v>
      </c>
      <c r="L338" s="41">
        <f t="shared" si="20"/>
        <v>4204357.84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3197895.99</v>
      </c>
      <c r="G352" s="41">
        <f>G338</f>
        <v>512044.37</v>
      </c>
      <c r="H352" s="41">
        <f>H338</f>
        <v>342667.27</v>
      </c>
      <c r="I352" s="41">
        <f>I338</f>
        <v>101954.4</v>
      </c>
      <c r="J352" s="41">
        <f>J338</f>
        <v>47738.33</v>
      </c>
      <c r="K352" s="47">
        <f>K338+K351</f>
        <v>2057.48</v>
      </c>
      <c r="L352" s="41">
        <f>L338+L351</f>
        <v>4204357.84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157741.41</v>
      </c>
      <c r="G358" s="18">
        <v>22686.31</v>
      </c>
      <c r="H358" s="18">
        <v>11008.06</v>
      </c>
      <c r="I358" s="18">
        <v>142390.54</v>
      </c>
      <c r="J358" s="18"/>
      <c r="K358" s="18">
        <v>523.17999999999995</v>
      </c>
      <c r="L358" s="13">
        <f>SUM(F358:K358)</f>
        <v>334349.5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81132.39</v>
      </c>
      <c r="G359" s="18">
        <v>11619.1</v>
      </c>
      <c r="H359" s="18">
        <v>5869.37</v>
      </c>
      <c r="I359" s="18">
        <v>74179.350000000006</v>
      </c>
      <c r="J359" s="18"/>
      <c r="K359" s="18">
        <v>266.67</v>
      </c>
      <c r="L359" s="19">
        <f>SUM(F359:K359)</f>
        <v>173066.88000000003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160189.35999999999</v>
      </c>
      <c r="G360" s="18">
        <v>23040.29</v>
      </c>
      <c r="H360" s="18">
        <v>11172.24</v>
      </c>
      <c r="I360" s="18">
        <v>144570.32999999999</v>
      </c>
      <c r="J360" s="18"/>
      <c r="K360" s="18">
        <v>531.38</v>
      </c>
      <c r="L360" s="19">
        <f>SUM(F360:K360)</f>
        <v>339503.6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399063.16</v>
      </c>
      <c r="G362" s="47">
        <f t="shared" si="22"/>
        <v>57345.700000000004</v>
      </c>
      <c r="H362" s="47">
        <f t="shared" si="22"/>
        <v>28049.67</v>
      </c>
      <c r="I362" s="47">
        <f t="shared" si="22"/>
        <v>361140.22</v>
      </c>
      <c r="J362" s="47">
        <f t="shared" si="22"/>
        <v>0</v>
      </c>
      <c r="K362" s="47">
        <f t="shared" si="22"/>
        <v>1321.23</v>
      </c>
      <c r="L362" s="47">
        <f t="shared" si="22"/>
        <v>846919.98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128152.34</v>
      </c>
      <c r="G367" s="18">
        <v>65318.95</v>
      </c>
      <c r="H367" s="18">
        <v>130160.1</v>
      </c>
      <c r="I367" s="56">
        <f>SUM(F367:H367)</f>
        <v>323631.39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14238.2</v>
      </c>
      <c r="G368" s="63">
        <v>8860.4</v>
      </c>
      <c r="H368" s="63">
        <v>14410.23</v>
      </c>
      <c r="I368" s="56">
        <f>SUM(F368:H368)</f>
        <v>37508.83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142390.54</v>
      </c>
      <c r="G369" s="47">
        <f>SUM(G367:G368)</f>
        <v>74179.349999999991</v>
      </c>
      <c r="H369" s="47">
        <f>SUM(H367:H368)</f>
        <v>144570.33000000002</v>
      </c>
      <c r="I369" s="47">
        <f>SUM(I367:I368)</f>
        <v>361140.22000000003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 t="s">
        <v>911</v>
      </c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>
        <v>154529.20000000001</v>
      </c>
      <c r="I405" s="18">
        <v>6475</v>
      </c>
      <c r="J405" s="24" t="s">
        <v>289</v>
      </c>
      <c r="K405" s="24" t="s">
        <v>289</v>
      </c>
      <c r="L405" s="56">
        <f>SUM(F405:K405)</f>
        <v>161004.20000000001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154529.20000000001</v>
      </c>
      <c r="I407" s="47">
        <f>SUM(I403:I406)</f>
        <v>6475</v>
      </c>
      <c r="J407" s="49" t="s">
        <v>289</v>
      </c>
      <c r="K407" s="49" t="s">
        <v>289</v>
      </c>
      <c r="L407" s="47">
        <f>SUM(L403:L406)</f>
        <v>161004.20000000001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154529.20000000001</v>
      </c>
      <c r="I408" s="47">
        <f>I393+I401+I407</f>
        <v>6475</v>
      </c>
      <c r="J408" s="24" t="s">
        <v>289</v>
      </c>
      <c r="K408" s="24" t="s">
        <v>289</v>
      </c>
      <c r="L408" s="47">
        <f>L393+L401+L407</f>
        <v>161004.20000000001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 t="s">
        <v>911</v>
      </c>
      <c r="B431" s="6">
        <v>17</v>
      </c>
      <c r="C431" s="6">
        <v>17</v>
      </c>
      <c r="D431" s="2" t="s">
        <v>433</v>
      </c>
      <c r="E431" s="6"/>
      <c r="F431" s="18"/>
      <c r="G431" s="18"/>
      <c r="H431" s="18">
        <v>122160</v>
      </c>
      <c r="I431" s="18"/>
      <c r="J431" s="18"/>
      <c r="K431" s="18">
        <v>17902.37</v>
      </c>
      <c r="L431" s="56">
        <f>SUM(F431:K431)</f>
        <v>140062.37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122160</v>
      </c>
      <c r="I433" s="47">
        <f t="shared" si="31"/>
        <v>0</v>
      </c>
      <c r="J433" s="47">
        <f t="shared" si="31"/>
        <v>0</v>
      </c>
      <c r="K433" s="47">
        <f t="shared" si="31"/>
        <v>17902.37</v>
      </c>
      <c r="L433" s="47">
        <f t="shared" si="31"/>
        <v>140062.37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122160</v>
      </c>
      <c r="I434" s="47">
        <f t="shared" si="32"/>
        <v>0</v>
      </c>
      <c r="J434" s="47">
        <f t="shared" si="32"/>
        <v>0</v>
      </c>
      <c r="K434" s="47">
        <f t="shared" si="32"/>
        <v>17902.37</v>
      </c>
      <c r="L434" s="47">
        <f t="shared" si="32"/>
        <v>140062.37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>
        <v>5213739.7300000004</v>
      </c>
      <c r="I441" s="56">
        <f t="shared" si="33"/>
        <v>5213739.7300000004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5213739.7300000004</v>
      </c>
      <c r="I446" s="13">
        <f>SUM(I439:I445)</f>
        <v>5213739.7300000004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5113948.09</v>
      </c>
      <c r="I457" s="56">
        <f t="shared" si="34"/>
        <v>5113948.09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v>99791.64</v>
      </c>
      <c r="I458" s="56">
        <f t="shared" si="34"/>
        <v>99791.64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5213739.7299999995</v>
      </c>
      <c r="I460" s="83">
        <f>SUM(I454:I459)</f>
        <v>5213739.7299999995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5213739.7299999995</v>
      </c>
      <c r="I461" s="42">
        <f>I452+I460</f>
        <v>5213739.7299999995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/>
      <c r="G465" s="18">
        <v>241.33</v>
      </c>
      <c r="H465" s="18">
        <v>610293.57999999996</v>
      </c>
      <c r="I465" s="18"/>
      <c r="J465" s="18">
        <v>5192797.9000000004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41806675.469999999</v>
      </c>
      <c r="G468" s="18">
        <v>849304.64</v>
      </c>
      <c r="H468" s="18">
        <v>4192386.21</v>
      </c>
      <c r="I468" s="18"/>
      <c r="J468" s="18">
        <v>161004.20000000001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41806675.469999999</v>
      </c>
      <c r="G470" s="53">
        <f>SUM(G468:G469)</f>
        <v>849304.64</v>
      </c>
      <c r="H470" s="53">
        <f>SUM(H468:H469)</f>
        <v>4192386.21</v>
      </c>
      <c r="I470" s="53">
        <f>SUM(I468:I469)</f>
        <v>0</v>
      </c>
      <c r="J470" s="53">
        <f>SUM(J468:J469)</f>
        <v>161004.20000000001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41806675.469999999</v>
      </c>
      <c r="G472" s="18">
        <v>846919.98</v>
      </c>
      <c r="H472" s="18">
        <v>4204357.84</v>
      </c>
      <c r="I472" s="18"/>
      <c r="J472" s="18">
        <v>140062.37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41806675.469999999</v>
      </c>
      <c r="G474" s="53">
        <f>SUM(G472:G473)</f>
        <v>846919.98</v>
      </c>
      <c r="H474" s="53">
        <f>SUM(H472:H473)</f>
        <v>4204357.84</v>
      </c>
      <c r="I474" s="53">
        <f>SUM(I472:I473)</f>
        <v>0</v>
      </c>
      <c r="J474" s="53">
        <f>SUM(J472:J473)</f>
        <v>140062.37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2625.9899999999907</v>
      </c>
      <c r="H476" s="53">
        <f>(H465+H470)- H474</f>
        <v>598321.95000000019</v>
      </c>
      <c r="I476" s="53">
        <f>(I465+I470)- I474</f>
        <v>0</v>
      </c>
      <c r="J476" s="53">
        <f>(J465+J470)- J474</f>
        <v>5213739.7300000004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1738275.76</v>
      </c>
      <c r="G521" s="18">
        <v>629184.29</v>
      </c>
      <c r="H521" s="18">
        <v>239782.93</v>
      </c>
      <c r="I521" s="18">
        <v>6130.83</v>
      </c>
      <c r="J521" s="18">
        <v>2037.86</v>
      </c>
      <c r="K521" s="18"/>
      <c r="L521" s="88">
        <f>SUM(F521:K521)</f>
        <v>2615411.67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1234052.3999999999</v>
      </c>
      <c r="G522" s="18">
        <v>430208.3</v>
      </c>
      <c r="H522" s="18">
        <v>86961.03</v>
      </c>
      <c r="I522" s="18">
        <v>1654.77</v>
      </c>
      <c r="J522" s="18">
        <v>1554.78</v>
      </c>
      <c r="K522" s="18"/>
      <c r="L522" s="88">
        <f>SUM(F522:K522)</f>
        <v>1754431.28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1730687.96</v>
      </c>
      <c r="G523" s="18">
        <v>514430.06</v>
      </c>
      <c r="H523" s="18">
        <v>733046.04</v>
      </c>
      <c r="I523" s="18">
        <v>18798.28</v>
      </c>
      <c r="J523" s="18">
        <v>2816.69</v>
      </c>
      <c r="K523" s="18">
        <v>258.8</v>
      </c>
      <c r="L523" s="88">
        <f>SUM(F523:K523)</f>
        <v>3000037.8299999996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4703016.12</v>
      </c>
      <c r="G524" s="108">
        <f t="shared" ref="G524:L524" si="36">SUM(G521:G523)</f>
        <v>1573822.6500000001</v>
      </c>
      <c r="H524" s="108">
        <f t="shared" si="36"/>
        <v>1059790</v>
      </c>
      <c r="I524" s="108">
        <f t="shared" si="36"/>
        <v>26583.879999999997</v>
      </c>
      <c r="J524" s="108">
        <f t="shared" si="36"/>
        <v>6409.33</v>
      </c>
      <c r="K524" s="108">
        <f t="shared" si="36"/>
        <v>258.8</v>
      </c>
      <c r="L524" s="89">
        <f t="shared" si="36"/>
        <v>7369880.7799999993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533910.25</v>
      </c>
      <c r="G526" s="18">
        <v>282097.76</v>
      </c>
      <c r="H526" s="18">
        <v>31435.31</v>
      </c>
      <c r="I526" s="18">
        <v>5494.43</v>
      </c>
      <c r="J526" s="18"/>
      <c r="K526" s="18"/>
      <c r="L526" s="88">
        <f>SUM(F526:K526)</f>
        <v>852937.75000000012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350812.79</v>
      </c>
      <c r="G527" s="18">
        <v>95588.59</v>
      </c>
      <c r="H527" s="18">
        <v>13040.91</v>
      </c>
      <c r="I527" s="18">
        <v>1581.76</v>
      </c>
      <c r="J527" s="18"/>
      <c r="K527" s="18"/>
      <c r="L527" s="88">
        <f>SUM(F527:K527)</f>
        <v>461024.05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149829.16</v>
      </c>
      <c r="G528" s="18">
        <v>48767.41</v>
      </c>
      <c r="H528" s="18">
        <v>29043.86</v>
      </c>
      <c r="I528" s="18"/>
      <c r="J528" s="18"/>
      <c r="K528" s="18"/>
      <c r="L528" s="88">
        <f>SUM(F528:K528)</f>
        <v>227640.43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1034552.2000000001</v>
      </c>
      <c r="G529" s="89">
        <f t="shared" ref="G529:L529" si="37">SUM(G526:G528)</f>
        <v>426453.76000000001</v>
      </c>
      <c r="H529" s="89">
        <f t="shared" si="37"/>
        <v>73520.08</v>
      </c>
      <c r="I529" s="89">
        <f t="shared" si="37"/>
        <v>7076.1900000000005</v>
      </c>
      <c r="J529" s="89">
        <f t="shared" si="37"/>
        <v>0</v>
      </c>
      <c r="K529" s="89">
        <f t="shared" si="37"/>
        <v>0</v>
      </c>
      <c r="L529" s="89">
        <f t="shared" si="37"/>
        <v>1541602.23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57582.06</v>
      </c>
      <c r="G531" s="18">
        <v>21385.18</v>
      </c>
      <c r="H531" s="18">
        <v>29.85</v>
      </c>
      <c r="I531" s="18">
        <v>299.2</v>
      </c>
      <c r="J531" s="18"/>
      <c r="K531" s="18">
        <v>3194.61</v>
      </c>
      <c r="L531" s="88">
        <f>SUM(F531:K531)</f>
        <v>82490.899999999994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73910.070000000007</v>
      </c>
      <c r="G532" s="18">
        <v>34774.65</v>
      </c>
      <c r="H532" s="18">
        <v>315.47000000000003</v>
      </c>
      <c r="I532" s="18">
        <v>384.04</v>
      </c>
      <c r="J532" s="18"/>
      <c r="K532" s="18">
        <v>118.13</v>
      </c>
      <c r="L532" s="88">
        <f>SUM(F532:K532)</f>
        <v>109502.36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310800.65999999997</v>
      </c>
      <c r="G533" s="18">
        <v>109308.9</v>
      </c>
      <c r="H533" s="18">
        <v>2400.54</v>
      </c>
      <c r="I533" s="18">
        <v>46.96</v>
      </c>
      <c r="J533" s="18"/>
      <c r="K533" s="18"/>
      <c r="L533" s="88">
        <f>SUM(F533:K533)</f>
        <v>422557.05999999994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442292.79</v>
      </c>
      <c r="G534" s="89">
        <f t="shared" ref="G534:L534" si="38">SUM(G531:G533)</f>
        <v>165468.72999999998</v>
      </c>
      <c r="H534" s="89">
        <f t="shared" si="38"/>
        <v>2745.86</v>
      </c>
      <c r="I534" s="89">
        <f t="shared" si="38"/>
        <v>730.2</v>
      </c>
      <c r="J534" s="89">
        <f t="shared" si="38"/>
        <v>0</v>
      </c>
      <c r="K534" s="89">
        <f t="shared" si="38"/>
        <v>3312.7400000000002</v>
      </c>
      <c r="L534" s="89">
        <f t="shared" si="38"/>
        <v>614550.31999999995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21825.01</v>
      </c>
      <c r="I536" s="18"/>
      <c r="J536" s="18"/>
      <c r="K536" s="18"/>
      <c r="L536" s="88">
        <f>SUM(F536:K536)</f>
        <v>21825.01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11180.61</v>
      </c>
      <c r="I537" s="18"/>
      <c r="J537" s="18"/>
      <c r="K537" s="18"/>
      <c r="L537" s="88">
        <f>SUM(F537:K537)</f>
        <v>11180.61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22297.040000000001</v>
      </c>
      <c r="I538" s="18"/>
      <c r="J538" s="18"/>
      <c r="K538" s="18"/>
      <c r="L538" s="88">
        <f>SUM(F538:K538)</f>
        <v>22297.040000000001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55302.659999999996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55302.659999999996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41695.949999999997</v>
      </c>
      <c r="I541" s="18"/>
      <c r="J541" s="18"/>
      <c r="K541" s="18"/>
      <c r="L541" s="88">
        <f>SUM(F541:K541)</f>
        <v>41695.949999999997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21252.84</v>
      </c>
      <c r="I542" s="18"/>
      <c r="J542" s="18"/>
      <c r="K542" s="18"/>
      <c r="L542" s="88">
        <f>SUM(F542:K542)</f>
        <v>21252.84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42350.31</v>
      </c>
      <c r="I543" s="18"/>
      <c r="J543" s="18"/>
      <c r="K543" s="18"/>
      <c r="L543" s="88">
        <f>SUM(F543:K543)</f>
        <v>42350.31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105299.09999999999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105299.09999999999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6179861.1100000003</v>
      </c>
      <c r="G545" s="89">
        <f t="shared" ref="G545:L545" si="41">G524+G529+G534+G539+G544</f>
        <v>2165745.14</v>
      </c>
      <c r="H545" s="89">
        <f t="shared" si="41"/>
        <v>1296657.7000000002</v>
      </c>
      <c r="I545" s="89">
        <f t="shared" si="41"/>
        <v>34390.269999999997</v>
      </c>
      <c r="J545" s="89">
        <f t="shared" si="41"/>
        <v>6409.33</v>
      </c>
      <c r="K545" s="89">
        <f t="shared" si="41"/>
        <v>3571.5400000000004</v>
      </c>
      <c r="L545" s="89">
        <f t="shared" si="41"/>
        <v>9686635.0899999999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2615411.67</v>
      </c>
      <c r="G549" s="87">
        <f>L526</f>
        <v>852937.75000000012</v>
      </c>
      <c r="H549" s="87">
        <f>L531</f>
        <v>82490.899999999994</v>
      </c>
      <c r="I549" s="87">
        <f>L536</f>
        <v>21825.01</v>
      </c>
      <c r="J549" s="87">
        <f>L541</f>
        <v>41695.949999999997</v>
      </c>
      <c r="K549" s="87">
        <f>SUM(F549:J549)</f>
        <v>3614361.28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1754431.28</v>
      </c>
      <c r="G550" s="87">
        <f>L527</f>
        <v>461024.05</v>
      </c>
      <c r="H550" s="87">
        <f>L532</f>
        <v>109502.36</v>
      </c>
      <c r="I550" s="87">
        <f>L537</f>
        <v>11180.61</v>
      </c>
      <c r="J550" s="87">
        <f>L542</f>
        <v>21252.84</v>
      </c>
      <c r="K550" s="87">
        <f>SUM(F550:J550)</f>
        <v>2357391.1399999997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3000037.8299999996</v>
      </c>
      <c r="G551" s="87">
        <f>L528</f>
        <v>227640.43</v>
      </c>
      <c r="H551" s="87">
        <f>L533</f>
        <v>422557.05999999994</v>
      </c>
      <c r="I551" s="87">
        <f>L538</f>
        <v>22297.040000000001</v>
      </c>
      <c r="J551" s="87">
        <f>L543</f>
        <v>42350.31</v>
      </c>
      <c r="K551" s="87">
        <f>SUM(F551:J551)</f>
        <v>3714882.67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7369880.7799999993</v>
      </c>
      <c r="G552" s="89">
        <f t="shared" si="42"/>
        <v>1541602.23</v>
      </c>
      <c r="H552" s="89">
        <f t="shared" si="42"/>
        <v>614550.31999999995</v>
      </c>
      <c r="I552" s="89">
        <f t="shared" si="42"/>
        <v>55302.659999999996</v>
      </c>
      <c r="J552" s="89">
        <f t="shared" si="42"/>
        <v>105299.09999999999</v>
      </c>
      <c r="K552" s="89">
        <f t="shared" si="42"/>
        <v>9686635.0899999999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970239.18</v>
      </c>
      <c r="G557" s="18">
        <v>180454.91</v>
      </c>
      <c r="H557" s="18">
        <v>5831.32</v>
      </c>
      <c r="I557" s="18">
        <v>30776.81</v>
      </c>
      <c r="J557" s="18"/>
      <c r="K557" s="18">
        <v>50</v>
      </c>
      <c r="L557" s="88">
        <f>SUM(F557:K557)</f>
        <v>1187352.2200000002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81865.350000000006</v>
      </c>
      <c r="G558" s="18">
        <v>17513.05</v>
      </c>
      <c r="H558" s="18">
        <v>1130</v>
      </c>
      <c r="I558" s="18">
        <v>2571.71</v>
      </c>
      <c r="J558" s="18"/>
      <c r="K558" s="18"/>
      <c r="L558" s="88">
        <f>SUM(F558:K558)</f>
        <v>103080.11000000002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>
        <v>89522.354000000007</v>
      </c>
      <c r="I559" s="18">
        <v>2773.24</v>
      </c>
      <c r="J559" s="18">
        <v>5472</v>
      </c>
      <c r="K559" s="18"/>
      <c r="L559" s="88">
        <f>SUM(F559:K559)</f>
        <v>97767.594000000012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1052104.53</v>
      </c>
      <c r="G560" s="108">
        <f t="shared" si="43"/>
        <v>197967.96</v>
      </c>
      <c r="H560" s="108">
        <f t="shared" si="43"/>
        <v>96483.673999999999</v>
      </c>
      <c r="I560" s="108">
        <f t="shared" si="43"/>
        <v>36121.760000000002</v>
      </c>
      <c r="J560" s="108">
        <f t="shared" si="43"/>
        <v>5472</v>
      </c>
      <c r="K560" s="108">
        <f t="shared" si="43"/>
        <v>50</v>
      </c>
      <c r="L560" s="89">
        <f t="shared" si="43"/>
        <v>1388199.9240000003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59472.35</v>
      </c>
      <c r="G562" s="18">
        <v>12411.23</v>
      </c>
      <c r="H562" s="18">
        <v>24.94</v>
      </c>
      <c r="I562" s="18">
        <v>1426.1</v>
      </c>
      <c r="J562" s="18"/>
      <c r="K562" s="18"/>
      <c r="L562" s="88">
        <f>SUM(F562:K562)</f>
        <v>73334.62000000001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30136.83</v>
      </c>
      <c r="G563" s="18">
        <v>6332.84</v>
      </c>
      <c r="H563" s="18">
        <v>12.76</v>
      </c>
      <c r="I563" s="18">
        <v>730.57</v>
      </c>
      <c r="J563" s="18"/>
      <c r="K563" s="18"/>
      <c r="L563" s="88">
        <f>SUM(F563:K563)</f>
        <v>37213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60100.7</v>
      </c>
      <c r="G564" s="18">
        <v>12629.33</v>
      </c>
      <c r="H564" s="18">
        <v>25.45</v>
      </c>
      <c r="I564" s="18">
        <v>1456.91</v>
      </c>
      <c r="J564" s="18"/>
      <c r="K564" s="18"/>
      <c r="L564" s="88">
        <f>SUM(F564:K564)</f>
        <v>74212.39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149709.88</v>
      </c>
      <c r="G565" s="89">
        <f t="shared" si="44"/>
        <v>31373.4</v>
      </c>
      <c r="H565" s="89">
        <f t="shared" si="44"/>
        <v>63.150000000000006</v>
      </c>
      <c r="I565" s="89">
        <f t="shared" si="44"/>
        <v>3613.58</v>
      </c>
      <c r="J565" s="89">
        <f t="shared" si="44"/>
        <v>0</v>
      </c>
      <c r="K565" s="89">
        <f t="shared" si="44"/>
        <v>0</v>
      </c>
      <c r="L565" s="89">
        <f t="shared" si="44"/>
        <v>184760.01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>
        <v>7028.59</v>
      </c>
      <c r="I567" s="18">
        <v>12173.08</v>
      </c>
      <c r="J567" s="18">
        <v>2547.9499999999998</v>
      </c>
      <c r="K567" s="18">
        <v>51.5</v>
      </c>
      <c r="L567" s="88">
        <f>SUM(F567:K567)</f>
        <v>21801.119999999999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3455</v>
      </c>
      <c r="G568" s="18">
        <v>517.52</v>
      </c>
      <c r="H568" s="18"/>
      <c r="I568" s="18">
        <v>860.77</v>
      </c>
      <c r="J568" s="18">
        <v>2299</v>
      </c>
      <c r="K568" s="18"/>
      <c r="L568" s="88">
        <f>SUM(F568:K568)</f>
        <v>7132.29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33689.47</v>
      </c>
      <c r="G569" s="18">
        <v>2641.58</v>
      </c>
      <c r="H569" s="18">
        <v>14291.83</v>
      </c>
      <c r="I569" s="18">
        <v>7151.66</v>
      </c>
      <c r="J569" s="18"/>
      <c r="K569" s="18"/>
      <c r="L569" s="88">
        <f>SUM(F569:K569)</f>
        <v>57774.540000000008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37144.47</v>
      </c>
      <c r="G570" s="193">
        <f t="shared" ref="G570:L570" si="45">SUM(G567:G569)</f>
        <v>3159.1</v>
      </c>
      <c r="H570" s="193">
        <f t="shared" si="45"/>
        <v>21320.42</v>
      </c>
      <c r="I570" s="193">
        <f t="shared" si="45"/>
        <v>20185.510000000002</v>
      </c>
      <c r="J570" s="193">
        <f t="shared" si="45"/>
        <v>4846.95</v>
      </c>
      <c r="K570" s="193">
        <f t="shared" si="45"/>
        <v>51.5</v>
      </c>
      <c r="L570" s="193">
        <f t="shared" si="45"/>
        <v>86707.950000000012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1238958.8800000001</v>
      </c>
      <c r="G571" s="89">
        <f t="shared" ref="G571:L571" si="46">G560+G565+G570</f>
        <v>232500.46</v>
      </c>
      <c r="H571" s="89">
        <f t="shared" si="46"/>
        <v>117867.24399999999</v>
      </c>
      <c r="I571" s="89">
        <f t="shared" si="46"/>
        <v>59920.850000000006</v>
      </c>
      <c r="J571" s="89">
        <f t="shared" si="46"/>
        <v>10318.950000000001</v>
      </c>
      <c r="K571" s="89">
        <f t="shared" si="46"/>
        <v>101.5</v>
      </c>
      <c r="L571" s="89">
        <f t="shared" si="46"/>
        <v>1659667.8840000003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23830.95</v>
      </c>
      <c r="G575" s="18"/>
      <c r="H575" s="18">
        <v>15407.5</v>
      </c>
      <c r="I575" s="87">
        <f>SUM(F575:H575)</f>
        <v>39238.449999999997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137915.78</v>
      </c>
      <c r="G582" s="18">
        <v>62962.879999999997</v>
      </c>
      <c r="H582" s="18">
        <v>525502.67000000004</v>
      </c>
      <c r="I582" s="87">
        <f t="shared" si="47"/>
        <v>726381.33000000007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272245.5</v>
      </c>
      <c r="I591" s="18">
        <v>138762.91</v>
      </c>
      <c r="J591" s="18">
        <v>276510.78000000003</v>
      </c>
      <c r="K591" s="104">
        <f t="shared" ref="K591:K597" si="48">SUM(H591:J591)</f>
        <v>687519.19000000006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41695.949999999997</v>
      </c>
      <c r="I592" s="18">
        <v>21252.84</v>
      </c>
      <c r="J592" s="18">
        <v>42350.31</v>
      </c>
      <c r="K592" s="104">
        <f t="shared" si="48"/>
        <v>105299.09999999999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2218</v>
      </c>
      <c r="K593" s="104">
        <f t="shared" si="48"/>
        <v>2218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529.74</v>
      </c>
      <c r="I594" s="18">
        <v>12107.47</v>
      </c>
      <c r="J594" s="18">
        <v>61221.81</v>
      </c>
      <c r="K594" s="104">
        <f t="shared" si="48"/>
        <v>73859.01999999999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31371.34</v>
      </c>
      <c r="I595" s="18">
        <v>29005.59</v>
      </c>
      <c r="J595" s="18">
        <v>10418.379999999999</v>
      </c>
      <c r="K595" s="104">
        <f t="shared" si="48"/>
        <v>70795.31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345842.53</v>
      </c>
      <c r="I598" s="108">
        <f>SUM(I591:I597)</f>
        <v>201128.81</v>
      </c>
      <c r="J598" s="108">
        <f>SUM(J591:J597)</f>
        <v>392719.28</v>
      </c>
      <c r="K598" s="108">
        <f>SUM(K591:K597)</f>
        <v>939690.62000000011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33656.65</v>
      </c>
      <c r="I603" s="18">
        <v>7415.17</v>
      </c>
      <c r="J603" s="18">
        <v>10194.91</v>
      </c>
      <c r="K603" s="104">
        <f>SUM(H603:J603)</f>
        <v>51266.729999999996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93741.75</v>
      </c>
      <c r="I604" s="18">
        <v>43117.5</v>
      </c>
      <c r="J604" s="18">
        <v>130655.07</v>
      </c>
      <c r="K604" s="104">
        <f>SUM(H604:J604)</f>
        <v>267514.32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127398.39999999999</v>
      </c>
      <c r="I605" s="108">
        <f>SUM(I602:I604)</f>
        <v>50532.67</v>
      </c>
      <c r="J605" s="108">
        <f>SUM(J602:J604)</f>
        <v>140849.98000000001</v>
      </c>
      <c r="K605" s="108">
        <f>SUM(K602:K604)</f>
        <v>318781.05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16748.439999999999</v>
      </c>
      <c r="G611" s="18">
        <v>3059.7</v>
      </c>
      <c r="H611" s="18">
        <v>7593.85</v>
      </c>
      <c r="I611" s="18">
        <v>3638.91</v>
      </c>
      <c r="J611" s="18"/>
      <c r="K611" s="18"/>
      <c r="L611" s="88">
        <f>SUM(F611:K611)</f>
        <v>31040.899999999998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8439.18</v>
      </c>
      <c r="G612" s="18">
        <v>1093.3399999999999</v>
      </c>
      <c r="H612" s="18"/>
      <c r="I612" s="18"/>
      <c r="J612" s="18"/>
      <c r="K612" s="18"/>
      <c r="L612" s="88">
        <f>SUM(F612:K612)</f>
        <v>9532.52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14151.04</v>
      </c>
      <c r="G613" s="18">
        <v>1550.69</v>
      </c>
      <c r="H613" s="18"/>
      <c r="I613" s="18"/>
      <c r="J613" s="18"/>
      <c r="K613" s="18"/>
      <c r="L613" s="88">
        <f>SUM(F613:K613)</f>
        <v>15701.730000000001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39338.660000000003</v>
      </c>
      <c r="G614" s="108">
        <f t="shared" si="49"/>
        <v>5703.73</v>
      </c>
      <c r="H614" s="108">
        <f t="shared" si="49"/>
        <v>7593.85</v>
      </c>
      <c r="I614" s="108">
        <f t="shared" si="49"/>
        <v>3638.91</v>
      </c>
      <c r="J614" s="108">
        <f t="shared" si="49"/>
        <v>0</v>
      </c>
      <c r="K614" s="108">
        <f t="shared" si="49"/>
        <v>0</v>
      </c>
      <c r="L614" s="89">
        <f t="shared" si="49"/>
        <v>56275.15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137502.74</v>
      </c>
      <c r="H618" s="109">
        <f>SUM(G52)</f>
        <v>137502.74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600116.5</v>
      </c>
      <c r="H619" s="109">
        <f>SUM(H52)</f>
        <v>600116.5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5213739.7300000004</v>
      </c>
      <c r="H621" s="109">
        <f>SUM(J52)</f>
        <v>5213739.7299999995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2625.99</v>
      </c>
      <c r="H623" s="109">
        <f>G476</f>
        <v>2625.9899999999907</v>
      </c>
      <c r="I623" s="121" t="s">
        <v>102</v>
      </c>
      <c r="J623" s="109">
        <f t="shared" si="50"/>
        <v>9.0949470177292824E-12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598321.94999999995</v>
      </c>
      <c r="H624" s="109">
        <f>H476</f>
        <v>598321.95000000019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5213739.7299999995</v>
      </c>
      <c r="H626" s="109">
        <f>J476</f>
        <v>5213739.7300000004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41806675.469999999</v>
      </c>
      <c r="H627" s="104">
        <f>SUM(F468)</f>
        <v>41806675.469999999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849304.64</v>
      </c>
      <c r="H628" s="104">
        <f>SUM(G468)</f>
        <v>849304.64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4192386.2100000004</v>
      </c>
      <c r="H629" s="104">
        <f>SUM(H468)</f>
        <v>4192386.21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161004.20000000001</v>
      </c>
      <c r="H631" s="104">
        <f>SUM(J468)</f>
        <v>161004.20000000001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41806675.469999999</v>
      </c>
      <c r="H632" s="104">
        <f>SUM(F472)</f>
        <v>41806675.469999999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4204357.84</v>
      </c>
      <c r="H633" s="104">
        <f>SUM(H472)</f>
        <v>4204357.84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361140.22</v>
      </c>
      <c r="H634" s="104">
        <f>I369</f>
        <v>361140.22000000003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846919.98</v>
      </c>
      <c r="H635" s="104">
        <f>SUM(G472)</f>
        <v>846919.98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161004.20000000001</v>
      </c>
      <c r="H637" s="164">
        <f>SUM(J468)</f>
        <v>161004.20000000001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140062.37</v>
      </c>
      <c r="H638" s="164">
        <f>SUM(J472)</f>
        <v>140062.37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5213739.7300000004</v>
      </c>
      <c r="H641" s="104">
        <f>SUM(H461)</f>
        <v>5213739.7299999995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5213739.7300000004</v>
      </c>
      <c r="H642" s="104">
        <f>SUM(I461)</f>
        <v>5213739.7299999995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154529.20000000001</v>
      </c>
      <c r="H644" s="104">
        <f>H408</f>
        <v>154529.20000000001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161004.20000000001</v>
      </c>
      <c r="H646" s="104">
        <f>L408</f>
        <v>161004.20000000001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939690.62000000011</v>
      </c>
      <c r="H647" s="104">
        <f>L208+L226+L244</f>
        <v>939690.62000000011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318781.05</v>
      </c>
      <c r="H648" s="104">
        <f>(J257+J338)-(J255+J336)</f>
        <v>318781.05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345842.53</v>
      </c>
      <c r="H649" s="104">
        <f>H598</f>
        <v>345842.53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201128.81</v>
      </c>
      <c r="H650" s="104">
        <f>I598</f>
        <v>201128.81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392719.28</v>
      </c>
      <c r="H651" s="104">
        <f>J598</f>
        <v>392719.28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80348.84</v>
      </c>
      <c r="H652" s="104">
        <f>K263+K345</f>
        <v>80348.84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760176</v>
      </c>
      <c r="H653" s="104">
        <f>K264</f>
        <v>760176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18041619.129999999</v>
      </c>
      <c r="G660" s="19">
        <f>(L229+L309+L359)</f>
        <v>9338345.0999999996</v>
      </c>
      <c r="H660" s="19">
        <f>(L247+L328+L360)</f>
        <v>18637464.219999995</v>
      </c>
      <c r="I660" s="19">
        <f>SUM(F660:H660)</f>
        <v>46017428.449999988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166139.70827256312</v>
      </c>
      <c r="G661" s="19">
        <f>(L359/IF(SUM(L358:L360)=0,1,SUM(L358:L360))*(SUM(G97:G110)))</f>
        <v>85997.678940278653</v>
      </c>
      <c r="H661" s="19">
        <f>(L360/IF(SUM(L358:L360)=0,1,SUM(L358:L360))*(SUM(G97:G110)))</f>
        <v>168700.80278715823</v>
      </c>
      <c r="I661" s="19">
        <f>SUM(F661:H661)</f>
        <v>420838.19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362275.95</v>
      </c>
      <c r="G662" s="19">
        <f>(L226+L306)-(J226+J306)</f>
        <v>203655.21</v>
      </c>
      <c r="H662" s="19">
        <f>(L244+L325)-(J244+J325)</f>
        <v>399253.60000000003</v>
      </c>
      <c r="I662" s="19">
        <f>SUM(F662:H662)</f>
        <v>965184.76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320186.03000000003</v>
      </c>
      <c r="G663" s="199">
        <f>SUM(G575:G587)+SUM(I602:I604)+L612</f>
        <v>123028.06999999999</v>
      </c>
      <c r="H663" s="199">
        <f>SUM(H575:H587)+SUM(J602:J604)+L613</f>
        <v>697461.88</v>
      </c>
      <c r="I663" s="19">
        <f>SUM(F663:H663)</f>
        <v>1140675.98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17193017.441727437</v>
      </c>
      <c r="G664" s="19">
        <f>G660-SUM(G661:G663)</f>
        <v>8925664.1410597209</v>
      </c>
      <c r="H664" s="19">
        <f>H660-SUM(H661:H663)</f>
        <v>17372047.937212836</v>
      </c>
      <c r="I664" s="19">
        <f>I660-SUM(I661:I663)</f>
        <v>43490729.519999988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1040.77</v>
      </c>
      <c r="G665" s="248">
        <v>533.16999999999996</v>
      </c>
      <c r="H665" s="248">
        <v>1063.28</v>
      </c>
      <c r="I665" s="19">
        <f>SUM(F665:H665)</f>
        <v>2637.2200000000003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16519.52</v>
      </c>
      <c r="G667" s="19">
        <f>ROUND(G664/G665,2)</f>
        <v>16740.75</v>
      </c>
      <c r="H667" s="19">
        <f>ROUND(H664/H665,2)</f>
        <v>16338.17</v>
      </c>
      <c r="I667" s="19">
        <f>ROUND(I664/I665,2)</f>
        <v>16491.13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-0.83</v>
      </c>
      <c r="I670" s="19">
        <f>SUM(F670:H670)</f>
        <v>-0.83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16519.52</v>
      </c>
      <c r="G672" s="19">
        <f>ROUND((G664+G669)/(G665+G670),2)</f>
        <v>16740.75</v>
      </c>
      <c r="H672" s="19">
        <f>ROUND((H664+H669)/(H665+H670),2)</f>
        <v>16350.93</v>
      </c>
      <c r="I672" s="19">
        <f>ROUND((I664+I669)/(I665+I670),2)</f>
        <v>16496.32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3" sqref="B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Portsmouth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12667561.470000001</v>
      </c>
      <c r="C9" s="229">
        <f>'DOE25'!G197+'DOE25'!G215+'DOE25'!G233+'DOE25'!G276+'DOE25'!G295+'DOE25'!G314</f>
        <v>6348514.0099999998</v>
      </c>
    </row>
    <row r="10" spans="1:3" x14ac:dyDescent="0.2">
      <c r="A10" t="s">
        <v>779</v>
      </c>
      <c r="B10" s="240">
        <v>11887462.41</v>
      </c>
      <c r="C10" s="240">
        <v>6157372.6500000004</v>
      </c>
    </row>
    <row r="11" spans="1:3" x14ac:dyDescent="0.2">
      <c r="A11" t="s">
        <v>780</v>
      </c>
      <c r="B11" s="240">
        <v>404242.51</v>
      </c>
      <c r="C11" s="240">
        <v>162388.32999999999</v>
      </c>
    </row>
    <row r="12" spans="1:3" x14ac:dyDescent="0.2">
      <c r="A12" t="s">
        <v>781</v>
      </c>
      <c r="B12" s="240">
        <v>375856.55</v>
      </c>
      <c r="C12" s="240">
        <v>28753.03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12667561.470000001</v>
      </c>
      <c r="C13" s="231">
        <f>SUM(C10:C12)</f>
        <v>6348514.0100000007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5042010.24</v>
      </c>
      <c r="C18" s="229">
        <f>'DOE25'!G198+'DOE25'!G216+'DOE25'!G234+'DOE25'!G277+'DOE25'!G296+'DOE25'!G315</f>
        <v>1631469.73</v>
      </c>
    </row>
    <row r="19" spans="1:3" x14ac:dyDescent="0.2">
      <c r="A19" t="s">
        <v>779</v>
      </c>
      <c r="B19" s="240">
        <v>3297162.31</v>
      </c>
      <c r="C19" s="240">
        <v>1156098.58</v>
      </c>
    </row>
    <row r="20" spans="1:3" x14ac:dyDescent="0.2">
      <c r="A20" t="s">
        <v>780</v>
      </c>
      <c r="B20" s="240">
        <v>1704338.33</v>
      </c>
      <c r="C20" s="240">
        <v>472272.17</v>
      </c>
    </row>
    <row r="21" spans="1:3" x14ac:dyDescent="0.2">
      <c r="A21" t="s">
        <v>781</v>
      </c>
      <c r="B21" s="240">
        <v>40509.599999999999</v>
      </c>
      <c r="C21" s="240">
        <v>3098.98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5042010.24</v>
      </c>
      <c r="C22" s="231">
        <f>SUM(C19:C21)</f>
        <v>1631469.73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786852.31</v>
      </c>
      <c r="C27" s="234">
        <f>'DOE25'!G199+'DOE25'!G217+'DOE25'!G235+'DOE25'!G278+'DOE25'!G297+'DOE25'!G316</f>
        <v>404419.14</v>
      </c>
    </row>
    <row r="28" spans="1:3" x14ac:dyDescent="0.2">
      <c r="A28" t="s">
        <v>779</v>
      </c>
      <c r="B28" s="240">
        <v>786852.31</v>
      </c>
      <c r="C28" s="240">
        <v>404419.14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786852.31</v>
      </c>
      <c r="C31" s="231">
        <f>SUM(C28:C30)</f>
        <v>404419.14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405387.48</v>
      </c>
      <c r="C36" s="235">
        <f>'DOE25'!G200+'DOE25'!G218+'DOE25'!G236+'DOE25'!G279+'DOE25'!G298+'DOE25'!G317</f>
        <v>176734.00000000003</v>
      </c>
    </row>
    <row r="37" spans="1:3" x14ac:dyDescent="0.2">
      <c r="A37" t="s">
        <v>779</v>
      </c>
      <c r="B37" s="240">
        <v>321110.53000000003</v>
      </c>
      <c r="C37" s="240">
        <v>169840.49</v>
      </c>
    </row>
    <row r="38" spans="1:3" x14ac:dyDescent="0.2">
      <c r="A38" t="s">
        <v>780</v>
      </c>
      <c r="B38" s="240">
        <v>3999.23</v>
      </c>
      <c r="C38" s="240">
        <v>752.65</v>
      </c>
    </row>
    <row r="39" spans="1:3" x14ac:dyDescent="0.2">
      <c r="A39" t="s">
        <v>781</v>
      </c>
      <c r="B39" s="240">
        <v>80277.72</v>
      </c>
      <c r="C39" s="240">
        <v>6140.86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405387.48</v>
      </c>
      <c r="C40" s="231">
        <f>SUM(C37:C39)</f>
        <v>176733.99999999997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Portsmouth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25914493.189999998</v>
      </c>
      <c r="D5" s="20">
        <f>SUM('DOE25'!L197:L200)+SUM('DOE25'!L215:L218)+SUM('DOE25'!L233:L236)-F5-G5</f>
        <v>25864092.169999998</v>
      </c>
      <c r="E5" s="243"/>
      <c r="F5" s="255">
        <f>SUM('DOE25'!J197:J200)+SUM('DOE25'!J215:J218)+SUM('DOE25'!J233:J236)</f>
        <v>48601.020000000004</v>
      </c>
      <c r="G5" s="53">
        <f>SUM('DOE25'!K197:K200)+SUM('DOE25'!K215:K218)+SUM('DOE25'!K233:K236)</f>
        <v>1800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4681804.7699999996</v>
      </c>
      <c r="D6" s="20">
        <f>'DOE25'!L202+'DOE25'!L220+'DOE25'!L238-F6-G6</f>
        <v>4666617.129999999</v>
      </c>
      <c r="E6" s="243"/>
      <c r="F6" s="255">
        <f>'DOE25'!J202+'DOE25'!J220+'DOE25'!J238</f>
        <v>2116.5299999999997</v>
      </c>
      <c r="G6" s="53">
        <f>'DOE25'!K202+'DOE25'!K220+'DOE25'!K238</f>
        <v>13071.11</v>
      </c>
      <c r="H6" s="259"/>
    </row>
    <row r="7" spans="1:9" x14ac:dyDescent="0.2">
      <c r="A7" s="32">
        <v>2200</v>
      </c>
      <c r="B7" t="s">
        <v>834</v>
      </c>
      <c r="C7" s="245">
        <f t="shared" si="0"/>
        <v>853130.99</v>
      </c>
      <c r="D7" s="20">
        <f>'DOE25'!L203+'DOE25'!L221+'DOE25'!L239-F7-G7</f>
        <v>728153.47</v>
      </c>
      <c r="E7" s="243"/>
      <c r="F7" s="255">
        <f>'DOE25'!J203+'DOE25'!J221+'DOE25'!J239</f>
        <v>124691.52</v>
      </c>
      <c r="G7" s="53">
        <f>'DOE25'!K203+'DOE25'!K221+'DOE25'!K239</f>
        <v>286</v>
      </c>
      <c r="H7" s="259"/>
    </row>
    <row r="8" spans="1:9" x14ac:dyDescent="0.2">
      <c r="A8" s="32">
        <v>2300</v>
      </c>
      <c r="B8" t="s">
        <v>802</v>
      </c>
      <c r="C8" s="245">
        <f t="shared" si="0"/>
        <v>735332.07000000007</v>
      </c>
      <c r="D8" s="243"/>
      <c r="E8" s="20">
        <f>'DOE25'!L204+'DOE25'!L222+'DOE25'!L240-F8-G8-D9-D11</f>
        <v>665551.73</v>
      </c>
      <c r="F8" s="255">
        <f>'DOE25'!J204+'DOE25'!J222+'DOE25'!J240</f>
        <v>862.16</v>
      </c>
      <c r="G8" s="53">
        <f>'DOE25'!K204+'DOE25'!K222+'DOE25'!K240</f>
        <v>68918.179999999993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20279.560000000001</v>
      </c>
      <c r="D9" s="244">
        <v>20279.560000000001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1500</v>
      </c>
      <c r="D10" s="243"/>
      <c r="E10" s="244">
        <v>1500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434155.08</v>
      </c>
      <c r="D11" s="244">
        <v>434155.08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2091369.8500000003</v>
      </c>
      <c r="D12" s="20">
        <f>'DOE25'!L205+'DOE25'!L223+'DOE25'!L241-F12-G12</f>
        <v>2085408.3500000003</v>
      </c>
      <c r="E12" s="243"/>
      <c r="F12" s="255">
        <f>'DOE25'!J205+'DOE25'!J223+'DOE25'!J241</f>
        <v>1359</v>
      </c>
      <c r="G12" s="53">
        <f>'DOE25'!K205+'DOE25'!K223+'DOE25'!K241</f>
        <v>4602.5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571565.82000000007</v>
      </c>
      <c r="D13" s="243"/>
      <c r="E13" s="20">
        <f>'DOE25'!L206+'DOE25'!L224+'DOE25'!L242-F13-G13</f>
        <v>570377.3600000001</v>
      </c>
      <c r="F13" s="255">
        <f>'DOE25'!J206+'DOE25'!J224+'DOE25'!J242</f>
        <v>0</v>
      </c>
      <c r="G13" s="53">
        <f>'DOE25'!K206+'DOE25'!K224+'DOE25'!K242</f>
        <v>1188.46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3913056.61</v>
      </c>
      <c r="D14" s="20">
        <f>'DOE25'!L207+'DOE25'!L225+'DOE25'!L243-F14-G14</f>
        <v>3809940.43</v>
      </c>
      <c r="E14" s="243"/>
      <c r="F14" s="255">
        <f>'DOE25'!J207+'DOE25'!J225+'DOE25'!J243</f>
        <v>93412.489999999991</v>
      </c>
      <c r="G14" s="53">
        <f>'DOE25'!K207+'DOE25'!K225+'DOE25'!K243</f>
        <v>9703.69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939690.62000000011</v>
      </c>
      <c r="D15" s="20">
        <f>'DOE25'!L208+'DOE25'!L226+'DOE25'!L244-F15-G15</f>
        <v>939690.62000000011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811272.07000000007</v>
      </c>
      <c r="D16" s="243"/>
      <c r="E16" s="20">
        <f>'DOE25'!L209+'DOE25'!L227+'DOE25'!L245-F16-G16</f>
        <v>809272.15</v>
      </c>
      <c r="F16" s="255">
        <f>'DOE25'!J209+'DOE25'!J227+'DOE25'!J245</f>
        <v>0</v>
      </c>
      <c r="G16" s="53">
        <f>'DOE25'!K209+'DOE25'!K227+'DOE25'!K245</f>
        <v>1999.92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523288.58999999997</v>
      </c>
      <c r="D29" s="20">
        <f>'DOE25'!L358+'DOE25'!L359+'DOE25'!L360-'DOE25'!I367-F29-G29</f>
        <v>521967.35999999999</v>
      </c>
      <c r="E29" s="243"/>
      <c r="F29" s="255">
        <f>'DOE25'!J358+'DOE25'!J359+'DOE25'!J360</f>
        <v>0</v>
      </c>
      <c r="G29" s="53">
        <f>'DOE25'!K358+'DOE25'!K359+'DOE25'!K360</f>
        <v>1321.23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4204357.84</v>
      </c>
      <c r="D31" s="20">
        <f>'DOE25'!L290+'DOE25'!L309+'DOE25'!L328+'DOE25'!L333+'DOE25'!L334+'DOE25'!L335-F31-G31</f>
        <v>4154562.03</v>
      </c>
      <c r="E31" s="243"/>
      <c r="F31" s="255">
        <f>'DOE25'!J290+'DOE25'!J309+'DOE25'!J328+'DOE25'!J333+'DOE25'!J334+'DOE25'!J335</f>
        <v>47738.33</v>
      </c>
      <c r="G31" s="53">
        <f>'DOE25'!K290+'DOE25'!K309+'DOE25'!K328+'DOE25'!K333+'DOE25'!K334+'DOE25'!K335</f>
        <v>2057.48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43224866.199999988</v>
      </c>
      <c r="E33" s="246">
        <f>SUM(E5:E31)</f>
        <v>2046701.2400000002</v>
      </c>
      <c r="F33" s="246">
        <f>SUM(F5:F31)</f>
        <v>318781.05</v>
      </c>
      <c r="G33" s="246">
        <f>SUM(G5:G31)</f>
        <v>104948.56999999999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2046701.2400000002</v>
      </c>
      <c r="E35" s="249"/>
    </row>
    <row r="36" spans="2:8" ht="12" thickTop="1" x14ac:dyDescent="0.2">
      <c r="B36" t="s">
        <v>815</v>
      </c>
      <c r="D36" s="20">
        <f>D33</f>
        <v>43224866.199999988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6" sqref="C4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Portsmouth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1437.4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80348.84</v>
      </c>
      <c r="E11" s="95">
        <f>'DOE25'!H12</f>
        <v>132034.29999999999</v>
      </c>
      <c r="F11" s="95">
        <f>'DOE25'!I12</f>
        <v>0</v>
      </c>
      <c r="G11" s="95">
        <f>'DOE25'!J12</f>
        <v>5213739.7300000004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23177.41</v>
      </c>
      <c r="E12" s="95">
        <f>'DOE25'!H13</f>
        <v>468082.2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32539.09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137502.74</v>
      </c>
      <c r="E18" s="41">
        <f>SUM(E8:E17)</f>
        <v>600116.5</v>
      </c>
      <c r="F18" s="41">
        <f>SUM(F8:F17)</f>
        <v>0</v>
      </c>
      <c r="G18" s="41">
        <f>SUM(G8:G17)</f>
        <v>5213739.7300000004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305.87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42096.75</v>
      </c>
      <c r="E29" s="95">
        <f>'DOE25'!H30</f>
        <v>1488.68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92780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134876.75</v>
      </c>
      <c r="E31" s="41">
        <f>SUM(E21:E30)</f>
        <v>1794.5500000000002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5113948.09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99791.64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2625.99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598321.94999999995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2625.99</v>
      </c>
      <c r="E50" s="41">
        <f>SUM(E34:E49)</f>
        <v>598321.94999999995</v>
      </c>
      <c r="F50" s="41">
        <f>SUM(F34:F49)</f>
        <v>0</v>
      </c>
      <c r="G50" s="41">
        <f>SUM(G34:G49)</f>
        <v>5213739.7299999995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0</v>
      </c>
      <c r="D51" s="41">
        <f>D50+D31</f>
        <v>137502.74</v>
      </c>
      <c r="E51" s="41">
        <f>E50+E31</f>
        <v>600116.5</v>
      </c>
      <c r="F51" s="41">
        <f>F50+F31</f>
        <v>0</v>
      </c>
      <c r="G51" s="41">
        <f>G50+G31</f>
        <v>5213739.7299999995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23647055.530000001</v>
      </c>
      <c r="D56" s="95">
        <f>'DOE25'!G60</f>
        <v>0</v>
      </c>
      <c r="E56" s="95">
        <f>'DOE25'!H60</f>
        <v>229455.54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6009441.3399999999</v>
      </c>
      <c r="D57" s="24" t="s">
        <v>289</v>
      </c>
      <c r="E57" s="95">
        <f>'DOE25'!H79</f>
        <v>722608.76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154529.20000000001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420838.19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20692.5</v>
      </c>
      <c r="D61" s="95">
        <f>SUM('DOE25'!G98:G110)</f>
        <v>0</v>
      </c>
      <c r="E61" s="95">
        <f>SUM('DOE25'!H98:H110)</f>
        <v>202467.18</v>
      </c>
      <c r="F61" s="95">
        <f>SUM('DOE25'!I98:I110)</f>
        <v>0</v>
      </c>
      <c r="G61" s="95">
        <f>SUM('DOE25'!J98:J110)</f>
        <v>6475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6030133.8399999999</v>
      </c>
      <c r="D62" s="130">
        <f>SUM(D57:D61)</f>
        <v>420838.19</v>
      </c>
      <c r="E62" s="130">
        <f>SUM(E57:E61)</f>
        <v>925075.94</v>
      </c>
      <c r="F62" s="130">
        <f>SUM(F57:F61)</f>
        <v>0</v>
      </c>
      <c r="G62" s="130">
        <f>SUM(G57:G61)</f>
        <v>161004.20000000001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29677189.370000001</v>
      </c>
      <c r="D63" s="22">
        <f>D56+D62</f>
        <v>420838.19</v>
      </c>
      <c r="E63" s="22">
        <f>E56+E62</f>
        <v>1154531.48</v>
      </c>
      <c r="F63" s="22">
        <f>F56+F62</f>
        <v>0</v>
      </c>
      <c r="G63" s="22">
        <f>G56+G62</f>
        <v>161004.20000000001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10129725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10129725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1770305.56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229455.54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8534.76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1999761.1</v>
      </c>
      <c r="D78" s="130">
        <f>SUM(D72:D77)</f>
        <v>8534.76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12129486.1</v>
      </c>
      <c r="D81" s="130">
        <f>SUM(D79:D80)+D78+D70</f>
        <v>8534.76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339582.85</v>
      </c>
      <c r="E88" s="95">
        <f>SUM('DOE25'!H153:H161)</f>
        <v>2277678.7300000004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339582.85</v>
      </c>
      <c r="E91" s="131">
        <f>SUM(E85:E90)</f>
        <v>2277678.7300000004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80348.84</v>
      </c>
      <c r="E96" s="95">
        <f>'DOE25'!H179</f>
        <v>760176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80348.84</v>
      </c>
      <c r="E103" s="86">
        <f>SUM(E93:E102)</f>
        <v>760176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41806675.469999999</v>
      </c>
      <c r="D104" s="86">
        <f>D63+D81+D91+D103</f>
        <v>849304.64</v>
      </c>
      <c r="E104" s="86">
        <f>E63+E81+E91+E103</f>
        <v>4192386.2100000004</v>
      </c>
      <c r="F104" s="86">
        <f>F63+F81+F91+F103</f>
        <v>0</v>
      </c>
      <c r="G104" s="86">
        <f>G63+G81+G103</f>
        <v>161004.20000000001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19335037.019999996</v>
      </c>
      <c r="D109" s="24" t="s">
        <v>289</v>
      </c>
      <c r="E109" s="95">
        <f>('DOE25'!L276)+('DOE25'!L295)+('DOE25'!L314)</f>
        <v>178993.79000000004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4638191.7700000005</v>
      </c>
      <c r="D110" s="24" t="s">
        <v>289</v>
      </c>
      <c r="E110" s="95">
        <f>('DOE25'!L277)+('DOE25'!L296)+('DOE25'!L315)</f>
        <v>3131494.99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1210420.69</v>
      </c>
      <c r="D111" s="24" t="s">
        <v>289</v>
      </c>
      <c r="E111" s="95">
        <f>('DOE25'!L278)+('DOE25'!L297)+('DOE25'!L316)</f>
        <v>57285.23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730843.71</v>
      </c>
      <c r="D112" s="24" t="s">
        <v>289</v>
      </c>
      <c r="E112" s="95">
        <f>+('DOE25'!L279)+('DOE25'!L298)+('DOE25'!L317)</f>
        <v>149821.74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25914493.189999998</v>
      </c>
      <c r="D115" s="86">
        <f>SUM(D109:D114)</f>
        <v>0</v>
      </c>
      <c r="E115" s="86">
        <f>SUM(E109:E114)</f>
        <v>3517595.75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4681804.7699999996</v>
      </c>
      <c r="D118" s="24" t="s">
        <v>289</v>
      </c>
      <c r="E118" s="95">
        <f>+('DOE25'!L281)+('DOE25'!L300)+('DOE25'!L319)</f>
        <v>112691.01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853130.99</v>
      </c>
      <c r="D119" s="24" t="s">
        <v>289</v>
      </c>
      <c r="E119" s="95">
        <f>+('DOE25'!L282)+('DOE25'!L301)+('DOE25'!L320)</f>
        <v>133583.13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1189766.71</v>
      </c>
      <c r="D120" s="24" t="s">
        <v>289</v>
      </c>
      <c r="E120" s="95">
        <f>+('DOE25'!L283)+('DOE25'!L302)+('DOE25'!L321)</f>
        <v>235340.93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2091369.8500000003</v>
      </c>
      <c r="D121" s="24" t="s">
        <v>289</v>
      </c>
      <c r="E121" s="95">
        <f>+('DOE25'!L284)+('DOE25'!L303)+('DOE25'!L322)</f>
        <v>119967.91999999998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571565.82000000007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3913056.6100000003</v>
      </c>
      <c r="D123" s="24" t="s">
        <v>289</v>
      </c>
      <c r="E123" s="95">
        <f>+('DOE25'!L286)+('DOE25'!L305)+('DOE25'!L324)</f>
        <v>59684.959999999999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939690.62000000011</v>
      </c>
      <c r="D124" s="24" t="s">
        <v>289</v>
      </c>
      <c r="E124" s="95">
        <f>+('DOE25'!L287)+('DOE25'!L306)+('DOE25'!L325)</f>
        <v>25494.14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811272.07000000007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846919.98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15051657.440000001</v>
      </c>
      <c r="D128" s="86">
        <f>SUM(D118:D127)</f>
        <v>846919.98</v>
      </c>
      <c r="E128" s="86">
        <f>SUM(E118:E127)</f>
        <v>686762.09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17902.37</v>
      </c>
    </row>
    <row r="135" spans="1:7" x14ac:dyDescent="0.2">
      <c r="A135" t="s">
        <v>233</v>
      </c>
      <c r="B135" s="32" t="s">
        <v>234</v>
      </c>
      <c r="C135" s="95">
        <f>'DOE25'!L263</f>
        <v>80348.84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760176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161004.20000000001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-161004.20000000001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840524.84000000008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17902.37</v>
      </c>
    </row>
    <row r="145" spans="1:9" ht="12.75" thickTop="1" thickBot="1" x14ac:dyDescent="0.25">
      <c r="A145" s="33" t="s">
        <v>244</v>
      </c>
      <c r="C145" s="86">
        <f>(C115+C128+C144)</f>
        <v>41806675.469999999</v>
      </c>
      <c r="D145" s="86">
        <f>(D115+D128+D144)</f>
        <v>846919.98</v>
      </c>
      <c r="E145" s="86">
        <f>(E115+E128+E144)</f>
        <v>4204357.84</v>
      </c>
      <c r="F145" s="86">
        <f>(F115+F128+F144)</f>
        <v>0</v>
      </c>
      <c r="G145" s="86">
        <f>(G115+G128+G144)</f>
        <v>17902.37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22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Portsmouth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16520</v>
      </c>
    </row>
    <row r="5" spans="1:4" x14ac:dyDescent="0.2">
      <c r="B5" t="s">
        <v>704</v>
      </c>
      <c r="C5" s="179">
        <f>IF('DOE25'!G665+'DOE25'!G670=0,0,ROUND('DOE25'!G672,0))</f>
        <v>16741</v>
      </c>
    </row>
    <row r="6" spans="1:4" x14ac:dyDescent="0.2">
      <c r="B6" t="s">
        <v>62</v>
      </c>
      <c r="C6" s="179">
        <f>IF('DOE25'!H665+'DOE25'!H670=0,0,ROUND('DOE25'!H672,0))</f>
        <v>16351</v>
      </c>
    </row>
    <row r="7" spans="1:4" x14ac:dyDescent="0.2">
      <c r="B7" t="s">
        <v>705</v>
      </c>
      <c r="C7" s="179">
        <f>IF('DOE25'!I665+'DOE25'!I670=0,0,ROUND('DOE25'!I672,0))</f>
        <v>16496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19514031</v>
      </c>
      <c r="D10" s="182">
        <f>ROUND((C10/$C$28)*100,1)</f>
        <v>42.8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7769687</v>
      </c>
      <c r="D11" s="182">
        <f>ROUND((C11/$C$28)*100,1)</f>
        <v>17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1267706</v>
      </c>
      <c r="D12" s="182">
        <f>ROUND((C12/$C$28)*100,1)</f>
        <v>2.8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880665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4794496</v>
      </c>
      <c r="D15" s="182">
        <f t="shared" ref="D15:D27" si="0">ROUND((C15/$C$28)*100,1)</f>
        <v>10.5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986714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2236380</v>
      </c>
      <c r="D17" s="182">
        <f t="shared" si="0"/>
        <v>4.9000000000000004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2211338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571566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3972742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965185</v>
      </c>
      <c r="D21" s="182">
        <f t="shared" si="0"/>
        <v>2.1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426081.81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45596591.810000002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45596591.810000002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23876511</v>
      </c>
      <c r="D35" s="182">
        <f t="shared" ref="D35:D40" si="1">ROUND((C35/$C$41)*100,1)</f>
        <v>52.2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7116214.0500000007</v>
      </c>
      <c r="D36" s="182">
        <f t="shared" si="1"/>
        <v>15.6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10129725</v>
      </c>
      <c r="D37" s="182">
        <f t="shared" si="1"/>
        <v>22.1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2008296</v>
      </c>
      <c r="D38" s="182">
        <f t="shared" si="1"/>
        <v>4.4000000000000004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2617262</v>
      </c>
      <c r="D39" s="182">
        <f t="shared" si="1"/>
        <v>5.7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45748008.049999997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Portsmouth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2015-10-19T16:36:32Z</cp:lastPrinted>
  <dcterms:created xsi:type="dcterms:W3CDTF">1997-12-04T19:04:30Z</dcterms:created>
  <dcterms:modified xsi:type="dcterms:W3CDTF">2015-11-30T13:51:45Z</dcterms:modified>
</cp:coreProperties>
</file>