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5" i="10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L226" i="1"/>
  <c r="G662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F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9" i="10"/>
  <c r="L250" i="1"/>
  <c r="L332" i="1"/>
  <c r="L254" i="1"/>
  <c r="C25" i="10"/>
  <c r="L268" i="1"/>
  <c r="L269" i="1"/>
  <c r="L349" i="1"/>
  <c r="L350" i="1"/>
  <c r="I665" i="1"/>
  <c r="I670" i="1"/>
  <c r="L211" i="1"/>
  <c r="H661" i="1"/>
  <c r="F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5" i="2" s="1"/>
  <c r="E111" i="2"/>
  <c r="C112" i="2"/>
  <c r="E112" i="2"/>
  <c r="C113" i="2"/>
  <c r="E113" i="2"/>
  <c r="C114" i="2"/>
  <c r="E114" i="2"/>
  <c r="D115" i="2"/>
  <c r="F115" i="2"/>
  <c r="G115" i="2"/>
  <c r="E118" i="2"/>
  <c r="E119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H338" i="1" s="1"/>
  <c r="H352" i="1" s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639" i="1" s="1"/>
  <c r="H461" i="1"/>
  <c r="F470" i="1"/>
  <c r="G470" i="1"/>
  <c r="H470" i="1"/>
  <c r="I470" i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I545" i="1" s="1"/>
  <c r="J524" i="1"/>
  <c r="J545" i="1" s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41" i="1"/>
  <c r="H641" i="1"/>
  <c r="G643" i="1"/>
  <c r="H643" i="1"/>
  <c r="G644" i="1"/>
  <c r="G645" i="1"/>
  <c r="G649" i="1"/>
  <c r="J649" i="1" s="1"/>
  <c r="G650" i="1"/>
  <c r="G652" i="1"/>
  <c r="H652" i="1"/>
  <c r="G653" i="1"/>
  <c r="H653" i="1"/>
  <c r="G654" i="1"/>
  <c r="H654" i="1"/>
  <c r="H655" i="1"/>
  <c r="J655" i="1" s="1"/>
  <c r="F192" i="1"/>
  <c r="L256" i="1"/>
  <c r="G164" i="2"/>
  <c r="C18" i="2"/>
  <c r="C26" i="10"/>
  <c r="L328" i="1"/>
  <c r="L351" i="1"/>
  <c r="L290" i="1"/>
  <c r="F660" i="1" s="1"/>
  <c r="A31" i="12"/>
  <c r="C70" i="2"/>
  <c r="D62" i="2"/>
  <c r="D63" i="2" s="1"/>
  <c r="D18" i="13"/>
  <c r="C18" i="13" s="1"/>
  <c r="D18" i="2"/>
  <c r="D17" i="13"/>
  <c r="C17" i="13" s="1"/>
  <c r="D6" i="13"/>
  <c r="C6" i="13" s="1"/>
  <c r="C91" i="2"/>
  <c r="F78" i="2"/>
  <c r="F81" i="2" s="1"/>
  <c r="D31" i="2"/>
  <c r="C78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G476" i="1"/>
  <c r="H623" i="1" s="1"/>
  <c r="J623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393" i="1"/>
  <c r="F22" i="13"/>
  <c r="H25" i="13"/>
  <c r="C25" i="13" s="1"/>
  <c r="J634" i="1"/>
  <c r="H571" i="1"/>
  <c r="L560" i="1"/>
  <c r="G192" i="1"/>
  <c r="H192" i="1"/>
  <c r="C35" i="10"/>
  <c r="L309" i="1"/>
  <c r="E16" i="13"/>
  <c r="J636" i="1"/>
  <c r="G36" i="2"/>
  <c r="L565" i="1"/>
  <c r="C22" i="13"/>
  <c r="C138" i="2"/>
  <c r="C16" i="13"/>
  <c r="L401" i="1" l="1"/>
  <c r="C139" i="2" s="1"/>
  <c r="I460" i="1"/>
  <c r="I461" i="1" s="1"/>
  <c r="H642" i="1" s="1"/>
  <c r="F476" i="1"/>
  <c r="H622" i="1" s="1"/>
  <c r="J622" i="1" s="1"/>
  <c r="F664" i="1"/>
  <c r="F672" i="1" s="1"/>
  <c r="C4" i="10" s="1"/>
  <c r="D127" i="2"/>
  <c r="D128" i="2" s="1"/>
  <c r="D145" i="2" s="1"/>
  <c r="G661" i="1"/>
  <c r="I661" i="1" s="1"/>
  <c r="A40" i="12"/>
  <c r="A13" i="12"/>
  <c r="J645" i="1"/>
  <c r="K598" i="1"/>
  <c r="G647" i="1" s="1"/>
  <c r="L544" i="1"/>
  <c r="K551" i="1"/>
  <c r="K552" i="1"/>
  <c r="L524" i="1"/>
  <c r="J640" i="1"/>
  <c r="J639" i="1"/>
  <c r="I446" i="1"/>
  <c r="G642" i="1" s="1"/>
  <c r="E120" i="2"/>
  <c r="E128" i="2" s="1"/>
  <c r="K338" i="1"/>
  <c r="K352" i="1" s="1"/>
  <c r="C11" i="10"/>
  <c r="F338" i="1"/>
  <c r="F352" i="1" s="1"/>
  <c r="L362" i="1"/>
  <c r="C27" i="10" s="1"/>
  <c r="D14" i="13"/>
  <c r="C14" i="13" s="1"/>
  <c r="H647" i="1"/>
  <c r="C120" i="2"/>
  <c r="H33" i="13"/>
  <c r="D15" i="13"/>
  <c r="C15" i="13" s="1"/>
  <c r="G651" i="1"/>
  <c r="J651" i="1" s="1"/>
  <c r="I662" i="1"/>
  <c r="C21" i="10"/>
  <c r="C124" i="2"/>
  <c r="C20" i="10"/>
  <c r="K257" i="1"/>
  <c r="K271" i="1" s="1"/>
  <c r="E8" i="13"/>
  <c r="C8" i="13" s="1"/>
  <c r="C17" i="10"/>
  <c r="H257" i="1"/>
  <c r="H271" i="1" s="1"/>
  <c r="C121" i="2"/>
  <c r="C119" i="2"/>
  <c r="I257" i="1"/>
  <c r="I271" i="1" s="1"/>
  <c r="J257" i="1"/>
  <c r="J271" i="1" s="1"/>
  <c r="G257" i="1"/>
  <c r="G271" i="1" s="1"/>
  <c r="D12" i="13"/>
  <c r="C12" i="13" s="1"/>
  <c r="C18" i="10"/>
  <c r="C118" i="2"/>
  <c r="D5" i="13"/>
  <c r="C5" i="13" s="1"/>
  <c r="C111" i="2"/>
  <c r="L247" i="1"/>
  <c r="H660" i="1" s="1"/>
  <c r="H664" i="1" s="1"/>
  <c r="C110" i="2"/>
  <c r="F257" i="1"/>
  <c r="F271" i="1" s="1"/>
  <c r="D7" i="13"/>
  <c r="C7" i="13" s="1"/>
  <c r="C16" i="10"/>
  <c r="L229" i="1"/>
  <c r="G660" i="1" s="1"/>
  <c r="C109" i="2"/>
  <c r="C10" i="10"/>
  <c r="C81" i="2"/>
  <c r="C104" i="2" s="1"/>
  <c r="C62" i="2"/>
  <c r="C63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L408" i="1" l="1"/>
  <c r="G637" i="1" s="1"/>
  <c r="J637" i="1" s="1"/>
  <c r="C141" i="2"/>
  <c r="C144" i="2" s="1"/>
  <c r="J642" i="1"/>
  <c r="F667" i="1"/>
  <c r="G664" i="1"/>
  <c r="G672" i="1" s="1"/>
  <c r="C5" i="10" s="1"/>
  <c r="J647" i="1"/>
  <c r="L545" i="1"/>
  <c r="D31" i="13"/>
  <c r="C31" i="13" s="1"/>
  <c r="F33" i="13"/>
  <c r="G635" i="1"/>
  <c r="J635" i="1" s="1"/>
  <c r="E33" i="13"/>
  <c r="D35" i="13" s="1"/>
  <c r="C128" i="2"/>
  <c r="H648" i="1"/>
  <c r="J648" i="1" s="1"/>
  <c r="C115" i="2"/>
  <c r="H672" i="1"/>
  <c r="C6" i="10" s="1"/>
  <c r="H667" i="1"/>
  <c r="L257" i="1"/>
  <c r="L271" i="1" s="1"/>
  <c r="G632" i="1" s="1"/>
  <c r="J632" i="1" s="1"/>
  <c r="C28" i="10"/>
  <c r="D24" i="10" s="1"/>
  <c r="I660" i="1"/>
  <c r="I664" i="1" s="1"/>
  <c r="I672" i="1" s="1"/>
  <c r="C7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G667" i="1"/>
  <c r="D33" i="13"/>
  <c r="D36" i="13" s="1"/>
  <c r="C145" i="2"/>
  <c r="D13" i="10"/>
  <c r="D20" i="10"/>
  <c r="D25" i="10"/>
  <c r="D21" i="10"/>
  <c r="D11" i="10"/>
  <c r="D22" i="10"/>
  <c r="D15" i="10"/>
  <c r="D19" i="10"/>
  <c r="D10" i="10"/>
  <c r="D26" i="10"/>
  <c r="C30" i="10"/>
  <c r="D16" i="10"/>
  <c r="D23" i="10"/>
  <c r="D27" i="10"/>
  <c r="D18" i="10"/>
  <c r="D17" i="10"/>
  <c r="D1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<sst xmlns="http://schemas.openxmlformats.org/spreadsheetml/2006/main" count="3964" uniqueCount="915">
  <si>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</si>
  <si>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</si>
  <si>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</si>
  <si>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</si>
  <si>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</si>
  <si>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</si>
  <si>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</si>
  <si>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</si>
  <si>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</si>
  <si>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</si>
  <si>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</si>
  <si>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</si>
  <si>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</si>
  <si>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</si>
  <si>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</si>
  <si>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</si>
  <si>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</si>
  <si>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</si>
  <si>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</si>
  <si>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</si>
  <si>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</si>
  <si>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</si>
  <si>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</si>
  <si>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</si>
  <si>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</si>
  <si>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</si>
  <si>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</si>
  <si>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</si>
  <si>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</si>
  <si>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</si>
  <si>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</si>
  <si>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</si>
  <si>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</si>
  <si>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</si>
  <si>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</si>
  <si>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</si>
  <si>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</si>
  <si>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</si>
  <si>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</si>
  <si>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</si>
  <si>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</si>
  <si>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</si>
  <si>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</si>
  <si>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</si>
  <si>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</si>
  <si>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</si>
  <si>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</si>
  <si>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</si>
  <si>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</si>
  <si>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</si>
  <si>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</si>
  <si>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</si>
  <si>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</si>
  <si>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</si>
  <si>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</si>
  <si>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</si>
  <si>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</si>
  <si>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</si>
  <si>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</si>
  <si>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</si>
  <si>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</si>
  <si>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</si>
  <si>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</si>
  <si>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</si>
  <si>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</si>
  <si>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</si>
  <si>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</si>
  <si>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</si>
  <si>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</si>
  <si>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</si>
  <si>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</si>
  <si>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</si>
  <si>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</si>
  <si>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</si>
  <si>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</si>
  <si>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</si>
  <si>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</si>
  <si>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</si>
  <si>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</si>
  <si>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</si>
  <si>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</si>
  <si>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</si>
  <si>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</si>
  <si>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</si>
  <si>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</si>
  <si>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</si>
  <si>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</si>
  <si>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</si>
  <si>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</si>
  <si>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</si>
  <si>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</si>
  <si>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</si>
  <si>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</si>
  <si>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</si>
  <si>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</si>
  <si>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</si>
  <si>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</si>
  <si>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</si>
  <si>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</si>
  <si>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</si>
  <si>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</si>
  <si>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</si>
  <si>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</si>
  <si>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</si>
  <si>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</si>
  <si>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</si>
  <si>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</si>
  <si>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</si>
  <si>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</si>
  <si>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</si>
  <si>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</si>
  <si>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</si>
  <si>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</si>
  <si>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</si>
  <si>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</si>
  <si>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</si>
  <si>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</si>
  <si>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</si>
  <si>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</si>
  <si>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</si>
  <si>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</si>
  <si>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</si>
  <si>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</si>
  <si>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</si>
  <si>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</si>
  <si>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</si>
  <si>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</si>
  <si>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</si>
  <si>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</si>
  <si>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</si>
  <si>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</si>
  <si>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</si>
  <si>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</si>
  <si>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</si>
  <si>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</si>
  <si>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</si>
  <si>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</si>
  <si>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</si>
  <si>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</si>
  <si>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</si>
  <si>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</si>
  <si>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</si>
  <si>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</si>
  <si>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</si>
  <si>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</si>
  <si>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</si>
  <si>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</si>
  <si>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</si>
  <si>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</si>
  <si>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</si>
  <si>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</si>
  <si>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</si>
  <si>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</si>
  <si>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</si>
  <si>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</si>
  <si>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</si>
  <si>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</si>
  <si>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</si>
  <si>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</si>
  <si>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</si>
  <si>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</si>
  <si>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</si>
  <si>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</si>
  <si>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</si>
  <si>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</si>
  <si>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</si>
  <si>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</si>
  <si>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</si>
  <si>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</si>
  <si>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</si>
  <si>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</si>
  <si>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</si>
  <si>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</si>
  <si>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</si>
  <si>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</si>
  <si>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</si>
  <si>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</si>
  <si>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</si>
  <si>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</si>
  <si>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</si>
  <si>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</si>
  <si>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</si>
  <si>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</si>
  <si>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</si>
  <si>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</si>
  <si>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</si>
  <si>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</si>
  <si>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</si>
  <si>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</si>
  <si>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</si>
  <si>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</si>
  <si>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</si>
  <si>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</si>
  <si>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</si>
  <si>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</si>
  <si>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</si>
  <si>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</si>
  <si>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</si>
  <si>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</si>
  <si>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</si>
  <si>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</si>
  <si>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</si>
  <si>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</si>
  <si>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</si>
  <si>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</si>
  <si>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</si>
  <si>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</si>
  <si>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</si>
  <si>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</si>
  <si>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</si>
  <si>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</si>
  <si>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</si>
  <si>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</si>
  <si>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</si>
  <si>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</si>
  <si>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</si>
  <si>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</si>
  <si>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</si>
  <si>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</si>
  <si>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</si>
  <si>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</si>
  <si>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</si>
  <si>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</si>
  <si>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</si>
  <si>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</si>
  <si>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</si>
  <si>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</si>
  <si>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</si>
  <si>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</si>
  <si>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</si>
  <si>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</si>
  <si>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</si>
  <si>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</si>
  <si>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</si>
  <si>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</si>
  <si>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</si>
  <si>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</si>
  <si>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</si>
  <si>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</si>
  <si>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</si>
  <si>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</si>
  <si>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</si>
  <si>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</si>
  <si>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</si>
  <si>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</si>
  <si>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</si>
  <si>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</si>
  <si>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</si>
  <si>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</si>
  <si>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</si>
  <si>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</si>
  <si>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</si>
  <si>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</si>
  <si>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</si>
  <si>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</si>
  <si>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</si>
  <si>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</si>
  <si>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</si>
  <si>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</si>
  <si>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</si>
  <si>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</si>
  <si>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</si>
  <si>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</si>
  <si>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</si>
  <si>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</si>
  <si>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</si>
  <si>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</si>
  <si>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</si>
  <si>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</si>
  <si>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</si>
  <si>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</si>
  <si>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</si>
  <si>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</si>
  <si>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</si>
  <si>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</si>
  <si>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</si>
  <si>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</si>
  <si>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</si>
  <si>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</si>
  <si>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</si>
  <si>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</si>
  <si>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</si>
  <si>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</si>
  <si>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</si>
  <si>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</si>
  <si>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</si>
  <si>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</si>
  <si>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</si>
  <si>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</si>
  <si>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</si>
  <si>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</si>
  <si>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</si>
  <si>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</si>
  <si>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</si>
  <si>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</si>
  <si>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</si>
  <si>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</si>
  <si>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</si>
  <si>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</si>
  <si>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</si>
  <si>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</si>
  <si>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</si>
  <si>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</si>
  <si>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</si>
  <si>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</si>
  <si>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</si>
  <si>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</si>
  <si>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</si>
  <si>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</si>
  <si>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</si>
  <si>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</si>
  <si>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</si>
  <si>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</si>
  <si>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</si>
  <si>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</si>
  <si>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</si>
  <si>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</si>
  <si>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</si>
  <si>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</si>
  <si>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</si>
  <si>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</si>
  <si>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</si>
  <si>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</si>
  <si>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</si>
  <si>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</si>
  <si>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</si>
  <si>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</si>
  <si>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</si>
  <si>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</si>
  <si>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</si>
  <si>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</si>
  <si>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</si>
  <si>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</si>
  <si>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</si>
  <si>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</si>
  <si>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</si>
  <si>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</si>
  <si>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</si>
  <si>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</si>
  <si>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</si>
  <si>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</si>
  <si>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</si>
  <si>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</si>
  <si>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</si>
  <si>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</si>
  <si>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</si>
  <si>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</si>
  <si>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</si>
  <si>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</si>
  <si>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</si>
  <si>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</si>
  <si>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</si>
  <si>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</si>
  <si>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</si>
  <si>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</si>
  <si>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</si>
  <si>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</si>
  <si>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</si>
  <si>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</si>
  <si>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</si>
  <si>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</si>
  <si>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</si>
  <si>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</si>
  <si>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</si>
  <si>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</si>
  <si>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</si>
  <si>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</si>
  <si>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</si>
  <si>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</si>
  <si>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</si>
  <si>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</si>
  <si>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</si>
  <si>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</si>
  <si>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</si>
  <si>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</si>
  <si>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</si>
  <si>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</si>
  <si>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</si>
  <si>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</si>
  <si>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</si>
  <si>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</si>
  <si>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</si>
  <si>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</si>
  <si>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</si>
  <si>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</si>
  <si>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</si>
  <si>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</si>
  <si>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</si>
  <si>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</si>
  <si>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</si>
  <si>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</si>
  <si>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</si>
  <si>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</si>
  <si>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</si>
  <si>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</si>
  <si>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</si>
  <si>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</si>
  <si>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</si>
  <si>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</si>
  <si>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</si>
  <si>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</si>
  <si>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</si>
  <si>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</si>
  <si>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</si>
  <si>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</si>
  <si>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</si>
  <si>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</si>
  <si>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</si>
  <si>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</si>
  <si>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</si>
  <si>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</si>
  <si>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</si>
  <si>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</si>
  <si>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</si>
  <si>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</si>
  <si>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</si>
  <si>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</si>
  <si>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</si>
  <si>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</si>
  <si>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</si>
  <si>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</si>
  <si>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</si>
  <si>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</si>
  <si>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</si>
  <si>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</si>
  <si>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</si>
  <si>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</si>
  <si>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</si>
  <si>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</si>
  <si>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</si>
  <si>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</si>
  <si>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</si>
  <si>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</si>
  <si>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</si>
  <si>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</si>
  <si>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</si>
  <si>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</si>
  <si>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</si>
  <si>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</si>
  <si>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</si>
  <si>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</si>
  <si>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</si>
  <si>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</si>
  <si>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</si>
  <si>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</si>
  <si>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</si>
  <si>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</si>
  <si>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</si>
  <si>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</si>
  <si>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</si>
  <si>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</si>
  <si>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</si>
  <si>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</si>
  <si>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</si>
  <si>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</si>
  <si>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</si>
  <si>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</si>
  <si>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</si>
  <si>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</si>
  <si>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</si>
  <si>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</si>
  <si>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</si>
  <si>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</si>
  <si>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</si>
  <si>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</si>
  <si>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</si>
  <si>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</si>
  <si>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</si>
  <si>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</si>
  <si>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</si>
  <si>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</si>
  <si>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</si>
  <si>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</si>
  <si>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</si>
  <si>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</si>
  <si>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</si>
  <si>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</si>
  <si>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</si>
  <si>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</si>
  <si>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</si>
  <si>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</si>
  <si>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</si>
  <si>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</si>
  <si>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</si>
  <si>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</si>
  <si>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</si>
  <si>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</si>
  <si>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</si>
  <si>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</si>
  <si>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</si>
  <si>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</si>
  <si>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</si>
  <si>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</si>
  <si>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</si>
  <si>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</si>
  <si>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</si>
  <si>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</si>
  <si>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</si>
  <si>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</si>
  <si>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</si>
  <si>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</si>
  <si>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</si>
  <si>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</si>
  <si>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</si>
  <si>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</si>
  <si>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</si>
  <si>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</si>
  <si>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</si>
  <si>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</si>
  <si>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</si>
  <si>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</si>
  <si>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</si>
  <si>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</si>
  <si>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</si>
  <si>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</si>
  <si>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</si>
  <si>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</si>
  <si>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</si>
  <si>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</si>
  <si>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</si>
  <si>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</si>
  <si>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</si>
  <si>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</si>
  <si>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</si>
  <si>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</si>
  <si>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</si>
  <si>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</si>
  <si>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</si>
  <si>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</si>
  <si>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</si>
  <si>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</si>
  <si>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</si>
  <si>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</si>
  <si>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</si>
  <si>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</si>
  <si>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</si>
  <si>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</si>
  <si>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</si>
  <si>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</si>
  <si>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</si>
  <si>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</si>
  <si>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</si>
  <si>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</si>
  <si>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</si>
  <si>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</si>
  <si>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</si>
  <si>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</si>
  <si>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</si>
  <si>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</si>
  <si>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</si>
  <si>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</si>
  <si>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</si>
  <si>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</si>
  <si>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</si>
  <si>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</si>
  <si>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</si>
  <si>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</si>
  <si>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</si>
  <si>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</si>
  <si>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</si>
  <si>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</si>
  <si>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</si>
  <si>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</si>
  <si>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</si>
  <si>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</si>
  <si>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</si>
  <si>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</si>
  <si>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</si>
  <si>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</si>
  <si>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</si>
  <si>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</si>
  <si>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</si>
  <si>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</si>
  <si>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</si>
  <si>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</si>
  <si>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</si>
  <si>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</si>
  <si>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</si>
  <si>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</si>
  <si>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</si>
  <si>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</si>
  <si>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</si>
  <si>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</si>
  <si>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</si>
  <si>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</si>
  <si>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</si>
  <si>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</si>
  <si>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</si>
  <si>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</si>
  <si>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</si>
  <si>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</si>
  <si>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</si>
  <si>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</si>
  <si>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</si>
  <si>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</si>
  <si>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</si>
  <si>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</si>
  <si>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</si>
  <si>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</si>
  <si>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</si>
  <si>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</si>
  <si>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</si>
  <si>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</si>
  <si>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</si>
  <si>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</si>
  <si>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</si>
  <si>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</si>
  <si>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</si>
  <si>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</si>
  <si>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</si>
  <si>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</si>
  <si>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</si>
  <si>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</si>
  <si>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</si>
  <si>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</si>
  <si>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</si>
  <si>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</si>
  <si>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</si>
  <si>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</si>
  <si>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</si>
  <si>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</si>
  <si>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</si>
  <si>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</si>
  <si>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</si>
  <si>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</si>
  <si>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</si>
  <si>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</si>
  <si>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</si>
  <si>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</si>
  <si>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</si>
  <si>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</si>
  <si>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</si>
  <si>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</si>
  <si>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</si>
  <si>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</si>
  <si>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</si>
  <si>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</si>
  <si>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</si>
  <si>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</si>
  <si>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</si>
  <si>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</si>
  <si>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</si>
  <si>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</si>
  <si>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</si>
  <si>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</si>
  <si>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</si>
  <si>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</si>
  <si>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</si>
  <si>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</si>
  <si>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</si>
  <si>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</si>
  <si>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</si>
  <si>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</si>
  <si>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</si>
  <si>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</si>
  <si>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</si>
  <si>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</si>
  <si>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</si>
  <si>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</si>
  <si>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</si>
  <si>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</si>
  <si>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</si>
  <si>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</si>
  <si>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</si>
  <si>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</si>
  <si>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</si>
  <si>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</si>
  <si>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</si>
  <si>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</si>
  <si>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</si>
  <si>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</si>
  <si>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</si>
  <si>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</si>
  <si>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</si>
  <si>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</si>
  <si>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</si>
  <si>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</si>
  <si>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</si>
  <si>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</si>
  <si>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</si>
  <si>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</si>
  <si>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</si>
  <si>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</si>
  <si>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</si>
  <si>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</si>
  <si>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</si>
  <si>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</si>
  <si>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</si>
  <si>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</si>
  <si>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</si>
  <si>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</si>
  <si>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</si>
  <si>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</si>
  <si>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</si>
  <si>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</si>
  <si>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</si>
  <si>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</si>
  <si>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</si>
  <si>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</si>
  <si>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</si>
  <si>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</si>
  <si>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</si>
  <si>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</si>
  <si>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</si>
  <si>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</si>
  <si>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</si>
  <si>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</si>
  <si>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</si>
  <si>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</si>
  <si>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</si>
  <si>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</si>
  <si>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</si>
  <si>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</si>
  <si>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</si>
  <si>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</si>
  <si>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</si>
  <si>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</si>
  <si>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</si>
  <si>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</si>
  <si>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</si>
  <si>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</si>
  <si>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</si>
  <si>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</si>
  <si>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</si>
  <si>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</si>
  <si>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</si>
  <si>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</si>
  <si>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</si>
  <si>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</si>
  <si>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</si>
  <si>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</si>
  <si>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</si>
  <si>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</si>
  <si>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</si>
  <si>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</si>
  <si>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</si>
  <si>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</si>
  <si>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</si>
  <si>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</si>
  <si>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</si>
  <si>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</si>
  <si>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</si>
  <si>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</si>
  <si>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</si>
  <si>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</si>
  <si>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</si>
  <si>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</si>
  <si>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</si>
  <si>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</si>
  <si>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</si>
  <si>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</si>
  <si>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</si>
  <si>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</si>
  <si>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</si>
  <si>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</si>
  <si>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</si>
  <si>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</si>
  <si>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</si>
  <si>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</si>
  <si>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</si>
  <si>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</si>
  <si>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</si>
  <si>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</si>
  <si>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</si>
  <si>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</si>
  <si>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</si>
  <si>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</si>
  <si>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</si>
  <si>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</si>
  <si>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</si>
  <si>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</si>
  <si>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</si>
  <si>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</si>
  <si>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</si>
  <si>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</si>
  <si>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</si>
  <si>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</si>
  <si>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</si>
  <si>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</si>
  <si>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</si>
  <si>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</si>
  <si>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</si>
  <si>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</si>
  <si>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</si>
  <si>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</si>
  <si>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</si>
  <si>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</si>
  <si>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</si>
  <si>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</si>
  <si>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</si>
  <si>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</si>
  <si>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</si>
  <si>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</si>
  <si>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</si>
  <si>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</si>
  <si>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</si>
  <si>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</si>
  <si>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</si>
  <si>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</si>
  <si>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</si>
  <si>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</si>
  <si>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</si>
  <si>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</si>
  <si>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</si>
  <si>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</si>
  <si>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</si>
  <si>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</si>
  <si>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</si>
  <si>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</si>
  <si>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</si>
  <si>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</si>
  <si>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</si>
  <si>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</si>
  <si>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</si>
  <si>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</si>
  <si>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</si>
  <si>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</si>
  <si>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</si>
  <si>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</si>
  <si>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</si>
  <si>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</si>
  <si>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</si>
  <si>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</si>
  <si>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</si>
  <si>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</si>
  <si>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</si>
  <si>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</si>
  <si>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</si>
  <si>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</si>
  <si>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</si>
  <si>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</si>
  <si>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</si>
  <si>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</si>
  <si>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</si>
  <si>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</si>
  <si>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</si>
  <si>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</si>
  <si>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</si>
  <si>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</si>
  <si>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</si>
  <si>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</si>
  <si>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</si>
  <si>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</si>
  <si>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</si>
  <si>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</si>
  <si>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</si>
  <si>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</si>
  <si>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</si>
  <si>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</si>
  <si>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</si>
  <si>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</si>
  <si>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</si>
  <si>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</si>
  <si>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</si>
  <si>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</si>
  <si>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</si>
  <si>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</si>
  <si>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</si>
  <si>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</si>
  <si>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</si>
  <si>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</si>
  <si>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</si>
  <si>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</si>
  <si>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</si>
  <si>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</si>
  <si>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</si>
  <si>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</si>
  <si>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</si>
  <si>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</si>
  <si>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</si>
  <si>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</si>
  <si>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</si>
  <si>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</si>
  <si>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</si>
  <si>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</si>
  <si>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</si>
  <si>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</si>
  <si>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</si>
  <si>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</si>
  <si>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</si>
  <si>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</si>
  <si>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</si>
  <si>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</si>
  <si>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</si>
  <si>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</si>
  <si>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</si>
  <si>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</si>
  <si>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</si>
  <si>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</si>
  <si>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</si>
  <si>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</si>
  <si>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</si>
  <si>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</si>
  <si>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</si>
  <si>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</si>
  <si>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</si>
  <si>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</si>
  <si>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</si>
  <si>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</si>
  <si>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</si>
  <si>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</si>
  <si>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</si>
  <si>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</si>
  <si>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</si>
  <si>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</si>
  <si>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</si>
  <si>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</si>
  <si>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</si>
  <si>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</si>
  <si>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</si>
  <si>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</si>
  <si>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PROFILE SCHOOL DISTRICT</t>
  </si>
  <si>
    <t>`</t>
  </si>
  <si>
    <t>01/07</t>
  </si>
  <si>
    <t>01/27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</si>
</sst>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450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532533.06000000006</v>
      </c>
      <c r="G9" s="18">
        <v>-21705.49</v>
      </c>
      <c r="H9" s="18">
        <v>-16307.73</v>
      </c>
      <c r="I9" s="18"/>
      <c r="J9" s="67">
        <f>SUM(I439)</f>
        <v>297929.95999999996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705.21</v>
      </c>
      <c r="G13" s="18">
        <v>8018.04</v>
      </c>
      <c r="H13" s="18">
        <v>16307.73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6622.93</v>
      </c>
      <c r="G14" s="18">
        <v>13687.45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539861.20000000007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297929.95999999996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5460.1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77121.97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82582.070000000007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146850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/>
      <c r="I48" s="18"/>
      <c r="J48" s="13">
        <f>SUM(I459)</f>
        <v>297929.95999999996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310429.13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457279.13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297929.95999999996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539861.19999999995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297929.95999999996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4287488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4287488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391.52</v>
      </c>
      <c r="G96" s="18"/>
      <c r="H96" s="18"/>
      <c r="I96" s="18"/>
      <c r="J96" s="18">
        <v>33.479999999999997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72230.23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18529.11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18920.63</v>
      </c>
      <c r="G111" s="41">
        <f>SUM(G96:G110)</f>
        <v>72230.23</v>
      </c>
      <c r="H111" s="41">
        <f>SUM(H96:H110)</f>
        <v>0</v>
      </c>
      <c r="I111" s="41">
        <f>SUM(I96:I110)</f>
        <v>0</v>
      </c>
      <c r="J111" s="41">
        <f>SUM(J96:J110)</f>
        <v>33.479999999999997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4306408.63</v>
      </c>
      <c r="G112" s="41">
        <f>G60+G111</f>
        <v>72230.23</v>
      </c>
      <c r="H112" s="41">
        <f>H60+H79+H94+H111</f>
        <v>0</v>
      </c>
      <c r="I112" s="41">
        <f>I60+I111</f>
        <v>0</v>
      </c>
      <c r="J112" s="41">
        <f>J60+J111</f>
        <v>33.479999999999997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713685.13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861347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1575032.13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359724.56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75606.820000000007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3938.8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1712.09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439270.18</v>
      </c>
      <c r="G136" s="41">
        <f>SUM(G123:G135)</f>
        <v>1712.09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2014302.3099999998</v>
      </c>
      <c r="G140" s="41">
        <f>G121+SUM(G136:G137)</f>
        <v>1712.09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74387.45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61173.89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20334.009999999998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50028.58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94611.71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94611.71</v>
      </c>
      <c r="G162" s="41">
        <f>SUM(G150:G161)</f>
        <v>50028.58</v>
      </c>
      <c r="H162" s="41">
        <f>SUM(H150:H161)</f>
        <v>155895.35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584.03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95195.74</v>
      </c>
      <c r="G169" s="41">
        <f>G147+G162+SUM(G163:G168)</f>
        <v>50028.58</v>
      </c>
      <c r="H169" s="41">
        <f>H147+H162+SUM(H163:H168)</f>
        <v>155895.35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5460.1</v>
      </c>
      <c r="H179" s="18"/>
      <c r="I179" s="18"/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-0.7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-0.7</v>
      </c>
      <c r="G183" s="41">
        <f>SUM(G179:G182)</f>
        <v>5460.1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-0.7</v>
      </c>
      <c r="G192" s="41">
        <f>G183+SUM(G188:G191)</f>
        <v>5460.1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6415905.9799999995</v>
      </c>
      <c r="G193" s="47">
        <f>G112+G140+G169+G192</f>
        <v>129431</v>
      </c>
      <c r="H193" s="47">
        <f>H112+H140+H169+H192</f>
        <v>155895.35</v>
      </c>
      <c r="I193" s="47">
        <f>I112+I140+I169+I192</f>
        <v>0</v>
      </c>
      <c r="J193" s="47">
        <f>J112+J140+J192</f>
        <v>33.479999999999997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428596.05</v>
      </c>
      <c r="G215" s="18">
        <v>157343.72</v>
      </c>
      <c r="H215" s="18">
        <v>2572.04</v>
      </c>
      <c r="I215" s="18">
        <v>16661.54</v>
      </c>
      <c r="J215" s="18">
        <v>8619.49</v>
      </c>
      <c r="K215" s="18"/>
      <c r="L215" s="19">
        <f>SUM(F215:K215)</f>
        <v>613792.84000000008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277623.96999999997</v>
      </c>
      <c r="G216" s="18">
        <v>191845.39</v>
      </c>
      <c r="H216" s="18">
        <v>3960</v>
      </c>
      <c r="I216" s="18">
        <v>2359.58</v>
      </c>
      <c r="J216" s="18">
        <v>443.71</v>
      </c>
      <c r="K216" s="18"/>
      <c r="L216" s="19">
        <f>SUM(F216:K216)</f>
        <v>476232.65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38717</v>
      </c>
      <c r="G217" s="18">
        <v>20976.95</v>
      </c>
      <c r="H217" s="18"/>
      <c r="I217" s="18">
        <v>3884.68</v>
      </c>
      <c r="J217" s="18">
        <v>515.44000000000005</v>
      </c>
      <c r="K217" s="18"/>
      <c r="L217" s="19">
        <f>SUM(F217:K217)</f>
        <v>64094.07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29196.49</v>
      </c>
      <c r="G218" s="18">
        <v>5399.23</v>
      </c>
      <c r="H218" s="18">
        <v>10015.25</v>
      </c>
      <c r="I218" s="18">
        <v>2127.34</v>
      </c>
      <c r="J218" s="18">
        <v>1917.67</v>
      </c>
      <c r="K218" s="18">
        <v>6288.75</v>
      </c>
      <c r="L218" s="19">
        <f>SUM(F218:K218)</f>
        <v>54944.729999999996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57190.879999999997</v>
      </c>
      <c r="G220" s="18">
        <v>23752.78</v>
      </c>
      <c r="H220" s="18">
        <v>44994.400000000001</v>
      </c>
      <c r="I220" s="18">
        <v>1073.5</v>
      </c>
      <c r="J220" s="18">
        <v>190.74</v>
      </c>
      <c r="K220" s="18"/>
      <c r="L220" s="19">
        <f t="shared" ref="L220:L226" si="2">SUM(F220:K220)</f>
        <v>127202.3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43545.72</v>
      </c>
      <c r="G221" s="18">
        <v>20109.8</v>
      </c>
      <c r="H221" s="18">
        <v>2.72</v>
      </c>
      <c r="I221" s="18">
        <v>3369.45</v>
      </c>
      <c r="J221" s="18">
        <v>1104.19</v>
      </c>
      <c r="K221" s="18">
        <v>13784.47</v>
      </c>
      <c r="L221" s="19">
        <f t="shared" si="2"/>
        <v>81916.350000000006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3080</v>
      </c>
      <c r="G222" s="18">
        <v>277.02</v>
      </c>
      <c r="H222" s="18">
        <v>100231.53</v>
      </c>
      <c r="I222" s="18"/>
      <c r="J222" s="18"/>
      <c r="K222" s="18">
        <v>4919.2</v>
      </c>
      <c r="L222" s="19">
        <f t="shared" si="2"/>
        <v>108507.75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73571.259999999995</v>
      </c>
      <c r="G223" s="18">
        <v>37506.300000000003</v>
      </c>
      <c r="H223" s="18">
        <v>15110.84</v>
      </c>
      <c r="I223" s="18">
        <v>2772.38</v>
      </c>
      <c r="J223" s="18"/>
      <c r="K223" s="18">
        <v>1886.74</v>
      </c>
      <c r="L223" s="19">
        <f t="shared" si="2"/>
        <v>130847.52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42175.72</v>
      </c>
      <c r="G225" s="18">
        <v>21300.01</v>
      </c>
      <c r="H225" s="18">
        <v>53745.35</v>
      </c>
      <c r="I225" s="18">
        <v>58417.07</v>
      </c>
      <c r="J225" s="18">
        <v>3378.5</v>
      </c>
      <c r="K225" s="18"/>
      <c r="L225" s="19">
        <f t="shared" si="2"/>
        <v>179016.65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20252.59</v>
      </c>
      <c r="I226" s="18">
        <v>1796.6</v>
      </c>
      <c r="J226" s="18"/>
      <c r="K226" s="18"/>
      <c r="L226" s="19">
        <f t="shared" si="2"/>
        <v>22049.19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993697.09</v>
      </c>
      <c r="G229" s="41">
        <f>SUM(G215:G228)</f>
        <v>478511.19999999995</v>
      </c>
      <c r="H229" s="41">
        <f>SUM(H215:H228)</f>
        <v>250884.72</v>
      </c>
      <c r="I229" s="41">
        <f>SUM(I215:I228)</f>
        <v>92462.140000000014</v>
      </c>
      <c r="J229" s="41">
        <f>SUM(J215:J228)</f>
        <v>16169.74</v>
      </c>
      <c r="K229" s="41">
        <f t="shared" si="3"/>
        <v>26879.160000000003</v>
      </c>
      <c r="L229" s="41">
        <f t="shared" si="3"/>
        <v>1858604.0500000003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831964.07</v>
      </c>
      <c r="G233" s="18">
        <v>361499.73</v>
      </c>
      <c r="H233" s="18">
        <v>6549.42</v>
      </c>
      <c r="I233" s="18">
        <v>26421.599999999999</v>
      </c>
      <c r="J233" s="18">
        <v>16007.52</v>
      </c>
      <c r="K233" s="18"/>
      <c r="L233" s="19">
        <f>SUM(F233:K233)</f>
        <v>1242442.3399999999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171021.82</v>
      </c>
      <c r="G234" s="18">
        <v>125709.37</v>
      </c>
      <c r="H234" s="18">
        <v>299541.33</v>
      </c>
      <c r="I234" s="18">
        <v>4393.51</v>
      </c>
      <c r="J234" s="18">
        <v>824.02</v>
      </c>
      <c r="K234" s="18"/>
      <c r="L234" s="19">
        <f>SUM(F234:K234)</f>
        <v>601490.05000000005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71903</v>
      </c>
      <c r="G235" s="18">
        <v>38956.870000000003</v>
      </c>
      <c r="H235" s="18">
        <v>30112.74</v>
      </c>
      <c r="I235" s="18">
        <v>7214.47</v>
      </c>
      <c r="J235" s="18">
        <v>957.24</v>
      </c>
      <c r="K235" s="18"/>
      <c r="L235" s="19">
        <f>SUM(F235:K235)</f>
        <v>149144.31999999998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59726.32</v>
      </c>
      <c r="G236" s="18">
        <v>8617.5</v>
      </c>
      <c r="H236" s="18">
        <v>16324.75</v>
      </c>
      <c r="I236" s="18">
        <v>4131.54</v>
      </c>
      <c r="J236" s="18">
        <v>3561.3</v>
      </c>
      <c r="K236" s="18">
        <v>11524.59</v>
      </c>
      <c r="L236" s="19">
        <f>SUM(F236:K236)</f>
        <v>103886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105184</v>
      </c>
      <c r="G238" s="18">
        <v>36568.22</v>
      </c>
      <c r="H238" s="18">
        <v>37598.550000000003</v>
      </c>
      <c r="I238" s="18">
        <v>2283.77</v>
      </c>
      <c r="J238" s="18">
        <v>354.24</v>
      </c>
      <c r="K238" s="18"/>
      <c r="L238" s="19">
        <f t="shared" ref="L238:L244" si="4">SUM(F238:K238)</f>
        <v>181988.78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80870.740000000005</v>
      </c>
      <c r="G239" s="18">
        <v>37348.07</v>
      </c>
      <c r="H239" s="18">
        <v>-494.94</v>
      </c>
      <c r="I239" s="18">
        <v>6381.83</v>
      </c>
      <c r="J239" s="18">
        <v>2050.58</v>
      </c>
      <c r="K239" s="18">
        <v>26132.49</v>
      </c>
      <c r="L239" s="19">
        <f t="shared" si="4"/>
        <v>152288.76999999999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5720</v>
      </c>
      <c r="G240" s="18">
        <v>514.44000000000005</v>
      </c>
      <c r="H240" s="18">
        <v>182794.03</v>
      </c>
      <c r="I240" s="18"/>
      <c r="J240" s="18"/>
      <c r="K240" s="18">
        <v>9135.66</v>
      </c>
      <c r="L240" s="19">
        <f t="shared" si="4"/>
        <v>198164.13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136632.29</v>
      </c>
      <c r="G241" s="18">
        <v>69654.820000000007</v>
      </c>
      <c r="H241" s="18">
        <v>30310.51</v>
      </c>
      <c r="I241" s="18">
        <v>5293.85</v>
      </c>
      <c r="J241" s="18"/>
      <c r="K241" s="18">
        <v>2067.9499999999998</v>
      </c>
      <c r="L241" s="19">
        <f t="shared" si="4"/>
        <v>243959.42000000004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88432.960000000006</v>
      </c>
      <c r="G243" s="18">
        <v>40366.230000000003</v>
      </c>
      <c r="H243" s="18">
        <v>79569.37</v>
      </c>
      <c r="I243" s="18">
        <v>108501.35</v>
      </c>
      <c r="J243" s="18">
        <v>8062.5</v>
      </c>
      <c r="K243" s="18"/>
      <c r="L243" s="19">
        <f t="shared" si="4"/>
        <v>324932.41000000003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80222.850000000006</v>
      </c>
      <c r="I244" s="18">
        <v>323.93</v>
      </c>
      <c r="J244" s="18"/>
      <c r="K244" s="18"/>
      <c r="L244" s="19">
        <f t="shared" si="4"/>
        <v>80546.78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1551455.2</v>
      </c>
      <c r="G247" s="41">
        <f t="shared" si="5"/>
        <v>719235.24999999977</v>
      </c>
      <c r="H247" s="41">
        <f t="shared" si="5"/>
        <v>762528.61</v>
      </c>
      <c r="I247" s="41">
        <f t="shared" si="5"/>
        <v>164945.85</v>
      </c>
      <c r="J247" s="41">
        <f t="shared" si="5"/>
        <v>31817.4</v>
      </c>
      <c r="K247" s="41">
        <f t="shared" si="5"/>
        <v>48860.69</v>
      </c>
      <c r="L247" s="41">
        <f t="shared" si="5"/>
        <v>3278842.9999999995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2545152.29</v>
      </c>
      <c r="G257" s="41">
        <f t="shared" si="8"/>
        <v>1197746.4499999997</v>
      </c>
      <c r="H257" s="41">
        <f t="shared" si="8"/>
        <v>1013413.33</v>
      </c>
      <c r="I257" s="41">
        <f t="shared" si="8"/>
        <v>257407.99000000002</v>
      </c>
      <c r="J257" s="41">
        <f t="shared" si="8"/>
        <v>47987.14</v>
      </c>
      <c r="K257" s="41">
        <f t="shared" si="8"/>
        <v>75739.850000000006</v>
      </c>
      <c r="L257" s="41">
        <f t="shared" si="8"/>
        <v>5137447.05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650000</v>
      </c>
      <c r="L260" s="19">
        <f>SUM(F260:K260)</f>
        <v>650000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365981.26</v>
      </c>
      <c r="L261" s="19">
        <f>SUM(F261:K261)</f>
        <v>365981.26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5460.1</v>
      </c>
      <c r="L263" s="19">
        <f>SUM(F263:K263)</f>
        <v>5460.1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 t="s">
        <v>287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23261</v>
      </c>
      <c r="L268" s="19">
        <f t="shared" si="9"/>
        <v>23261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1044702.36</v>
      </c>
      <c r="L270" s="41">
        <f t="shared" si="9"/>
        <v>1044702.36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2545152.29</v>
      </c>
      <c r="G271" s="42">
        <f t="shared" si="11"/>
        <v>1197746.4499999997</v>
      </c>
      <c r="H271" s="42">
        <f t="shared" si="11"/>
        <v>1013413.33</v>
      </c>
      <c r="I271" s="42">
        <f t="shared" si="11"/>
        <v>257407.99000000002</v>
      </c>
      <c r="J271" s="42">
        <f t="shared" si="11"/>
        <v>47987.14</v>
      </c>
      <c r="K271" s="42">
        <f t="shared" si="11"/>
        <v>1120442.21</v>
      </c>
      <c r="L271" s="42">
        <f t="shared" si="11"/>
        <v>6182149.4100000001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23318.69</v>
      </c>
      <c r="G296" s="18">
        <v>9380.8799999999992</v>
      </c>
      <c r="H296" s="18">
        <v>525</v>
      </c>
      <c r="I296" s="18">
        <v>184.46</v>
      </c>
      <c r="J296" s="18"/>
      <c r="K296" s="18"/>
      <c r="L296" s="19">
        <f>SUM(F296:K296)</f>
        <v>33409.03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7883.75</v>
      </c>
      <c r="G301" s="18">
        <v>1672.18</v>
      </c>
      <c r="H301" s="18">
        <v>6827.98</v>
      </c>
      <c r="I301" s="18">
        <v>343.5</v>
      </c>
      <c r="J301" s="18">
        <v>929.11</v>
      </c>
      <c r="K301" s="18">
        <v>245</v>
      </c>
      <c r="L301" s="19">
        <f t="shared" si="14"/>
        <v>17901.52</v>
      </c>
      <c r="M301" s="8" t="s">
        <v>912</v>
      </c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3253.83</v>
      </c>
      <c r="L302" s="19">
        <f t="shared" si="14"/>
        <v>3253.83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31202.44</v>
      </c>
      <c r="G309" s="42">
        <f t="shared" si="15"/>
        <v>11053.06</v>
      </c>
      <c r="H309" s="42">
        <f t="shared" si="15"/>
        <v>7352.98</v>
      </c>
      <c r="I309" s="42">
        <f t="shared" si="15"/>
        <v>527.96</v>
      </c>
      <c r="J309" s="42">
        <f t="shared" si="15"/>
        <v>929.11</v>
      </c>
      <c r="K309" s="42">
        <f t="shared" si="15"/>
        <v>3498.83</v>
      </c>
      <c r="L309" s="41">
        <f t="shared" si="15"/>
        <v>54564.380000000005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43306.12</v>
      </c>
      <c r="G315" s="18">
        <v>17421.66</v>
      </c>
      <c r="H315" s="18">
        <v>975</v>
      </c>
      <c r="I315" s="18">
        <v>341.55</v>
      </c>
      <c r="J315" s="18"/>
      <c r="K315" s="18"/>
      <c r="L315" s="19">
        <f>SUM(F315:K315)</f>
        <v>62044.33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14641.25</v>
      </c>
      <c r="G320" s="18">
        <v>3105.49</v>
      </c>
      <c r="H320" s="18">
        <v>12680.52</v>
      </c>
      <c r="I320" s="18">
        <v>637.91999999999996</v>
      </c>
      <c r="J320" s="18">
        <v>1725.49</v>
      </c>
      <c r="K320" s="18">
        <v>455</v>
      </c>
      <c r="L320" s="19">
        <f t="shared" si="16"/>
        <v>33245.67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6040.97</v>
      </c>
      <c r="L321" s="19">
        <f t="shared" si="16"/>
        <v>6040.97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57947.37</v>
      </c>
      <c r="G328" s="42">
        <f t="shared" si="17"/>
        <v>20527.150000000001</v>
      </c>
      <c r="H328" s="42">
        <f t="shared" si="17"/>
        <v>13655.52</v>
      </c>
      <c r="I328" s="42">
        <f t="shared" si="17"/>
        <v>979.47</v>
      </c>
      <c r="J328" s="42">
        <f t="shared" si="17"/>
        <v>1725.49</v>
      </c>
      <c r="K328" s="42">
        <f t="shared" si="17"/>
        <v>6495.97</v>
      </c>
      <c r="L328" s="41">
        <f t="shared" si="17"/>
        <v>101330.97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89149.81</v>
      </c>
      <c r="G338" s="41">
        <f t="shared" si="20"/>
        <v>31580.21</v>
      </c>
      <c r="H338" s="41">
        <f t="shared" si="20"/>
        <v>21008.5</v>
      </c>
      <c r="I338" s="41">
        <f t="shared" si="20"/>
        <v>1507.43</v>
      </c>
      <c r="J338" s="41">
        <f t="shared" si="20"/>
        <v>2654.6</v>
      </c>
      <c r="K338" s="41">
        <f t="shared" si="20"/>
        <v>9994.7999999999993</v>
      </c>
      <c r="L338" s="41">
        <f t="shared" si="20"/>
        <v>155895.35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 t="s">
        <v>287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89149.81</v>
      </c>
      <c r="G352" s="41">
        <f>G338</f>
        <v>31580.21</v>
      </c>
      <c r="H352" s="41">
        <f>H338</f>
        <v>21008.5</v>
      </c>
      <c r="I352" s="41">
        <f>I338</f>
        <v>1507.43</v>
      </c>
      <c r="J352" s="41">
        <f>J338</f>
        <v>2654.6</v>
      </c>
      <c r="K352" s="47">
        <f>K338+K351</f>
        <v>9994.7999999999993</v>
      </c>
      <c r="L352" s="41">
        <f>L338+L351</f>
        <v>155895.35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45300.85</v>
      </c>
      <c r="I359" s="18"/>
      <c r="J359" s="18"/>
      <c r="K359" s="18"/>
      <c r="L359" s="19">
        <f>SUM(F359:K359)</f>
        <v>45300.85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84130.15</v>
      </c>
      <c r="I360" s="18"/>
      <c r="J360" s="18"/>
      <c r="K360" s="18"/>
      <c r="L360" s="19">
        <f>SUM(F360:K360)</f>
        <v>84130.15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129431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129431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 t="s">
        <v>287</v>
      </c>
      <c r="H396" s="18">
        <v>7.23</v>
      </c>
      <c r="I396" s="18"/>
      <c r="J396" s="24" t="s">
        <v>289</v>
      </c>
      <c r="K396" s="24" t="s">
        <v>289</v>
      </c>
      <c r="L396" s="56">
        <f t="shared" si="26"/>
        <v>7.23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 t="s">
        <v>287</v>
      </c>
      <c r="H397" s="18">
        <v>18.71</v>
      </c>
      <c r="I397" s="18"/>
      <c r="J397" s="24" t="s">
        <v>289</v>
      </c>
      <c r="K397" s="24" t="s">
        <v>289</v>
      </c>
      <c r="L397" s="56">
        <f t="shared" si="26"/>
        <v>18.71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7.54</v>
      </c>
      <c r="I399" s="18"/>
      <c r="J399" s="24" t="s">
        <v>289</v>
      </c>
      <c r="K399" s="24" t="s">
        <v>289</v>
      </c>
      <c r="L399" s="56">
        <f t="shared" si="26"/>
        <v>7.54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33.480000000000004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33.480000000000004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33.480000000000004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33.480000000000004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>
        <v>8819</v>
      </c>
      <c r="K425" s="18"/>
      <c r="L425" s="56">
        <f t="shared" si="29"/>
        <v>8819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8819</v>
      </c>
      <c r="K427" s="47">
        <f t="shared" si="30"/>
        <v>0</v>
      </c>
      <c r="L427" s="47">
        <f t="shared" si="30"/>
        <v>8819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8819</v>
      </c>
      <c r="K434" s="47">
        <f t="shared" si="32"/>
        <v>0</v>
      </c>
      <c r="L434" s="47">
        <f t="shared" si="32"/>
        <v>8819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242687.08</v>
      </c>
      <c r="G439" s="18">
        <v>55242.879999999997</v>
      </c>
      <c r="H439" s="18"/>
      <c r="I439" s="56">
        <f t="shared" ref="I439:I445" si="33">SUM(F439:H439)</f>
        <v>297929.95999999996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 t="s">
        <v>287</v>
      </c>
      <c r="G441" s="18" t="s">
        <v>287</v>
      </c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242687.08</v>
      </c>
      <c r="G446" s="13">
        <f>SUM(G439:G445)</f>
        <v>55242.879999999997</v>
      </c>
      <c r="H446" s="13">
        <f>SUM(H439:H445)</f>
        <v>0</v>
      </c>
      <c r="I446" s="13">
        <f>SUM(I439:I445)</f>
        <v>297929.95999999996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242687.08</v>
      </c>
      <c r="G459" s="18">
        <v>55242.879999999997</v>
      </c>
      <c r="H459" s="18"/>
      <c r="I459" s="56">
        <f t="shared" si="34"/>
        <v>297929.95999999996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242687.08</v>
      </c>
      <c r="G460" s="83">
        <f>SUM(G454:G459)</f>
        <v>55242.879999999997</v>
      </c>
      <c r="H460" s="83">
        <f>SUM(H454:H459)</f>
        <v>0</v>
      </c>
      <c r="I460" s="83">
        <f>SUM(I454:I459)</f>
        <v>297929.95999999996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242687.08</v>
      </c>
      <c r="G461" s="42">
        <f>G452+G460</f>
        <v>55242.879999999997</v>
      </c>
      <c r="H461" s="42">
        <f>H452+H460</f>
        <v>0</v>
      </c>
      <c r="I461" s="42">
        <f>I452+I460</f>
        <v>297929.95999999996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223522.56</v>
      </c>
      <c r="G465" s="18">
        <v>0</v>
      </c>
      <c r="H465" s="18">
        <v>0</v>
      </c>
      <c r="I465" s="18"/>
      <c r="J465" s="18">
        <v>306715.48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6415905.9800000004</v>
      </c>
      <c r="G468" s="18">
        <v>129431</v>
      </c>
      <c r="H468" s="18">
        <v>155895.35</v>
      </c>
      <c r="I468" s="18"/>
      <c r="J468" s="18">
        <v>33.479999999999997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6415905.9800000004</v>
      </c>
      <c r="G470" s="53">
        <f>SUM(G468:G469)</f>
        <v>129431</v>
      </c>
      <c r="H470" s="53">
        <f>SUM(H468:H469)</f>
        <v>155895.35</v>
      </c>
      <c r="I470" s="53">
        <f>SUM(I468:I469)</f>
        <v>0</v>
      </c>
      <c r="J470" s="53">
        <f>SUM(J468:J469)</f>
        <v>33.479999999999997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6182149.4100000001</v>
      </c>
      <c r="G472" s="18">
        <v>129431</v>
      </c>
      <c r="H472" s="18">
        <v>155895.35</v>
      </c>
      <c r="I472" s="18"/>
      <c r="J472" s="18">
        <v>8819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 t="s">
        <v>287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6182149.4100000001</v>
      </c>
      <c r="G474" s="53">
        <f>SUM(G472:G473)</f>
        <v>129431</v>
      </c>
      <c r="H474" s="53">
        <f>SUM(H472:H473)</f>
        <v>155895.35</v>
      </c>
      <c r="I474" s="53">
        <f>SUM(I472:I473)</f>
        <v>0</v>
      </c>
      <c r="J474" s="53">
        <f>SUM(J472:J473)</f>
        <v>8819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457279.12999999989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297929.95999999996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12948800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8400000</v>
      </c>
      <c r="G495" s="18"/>
      <c r="H495" s="18"/>
      <c r="I495" s="18"/>
      <c r="J495" s="18"/>
      <c r="K495" s="53">
        <f>SUM(F495:J495)</f>
        <v>8400000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650000</v>
      </c>
      <c r="G497" s="18"/>
      <c r="H497" s="18"/>
      <c r="I497" s="18"/>
      <c r="J497" s="18"/>
      <c r="K497" s="53">
        <f t="shared" si="35"/>
        <v>650000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7750000</v>
      </c>
      <c r="G498" s="204"/>
      <c r="H498" s="204"/>
      <c r="I498" s="204"/>
      <c r="J498" s="204"/>
      <c r="K498" s="205">
        <f t="shared" si="35"/>
        <v>7750000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2088141.34</v>
      </c>
      <c r="G499" s="18"/>
      <c r="H499" s="18"/>
      <c r="I499" s="18"/>
      <c r="J499" s="18"/>
      <c r="K499" s="53">
        <f t="shared" si="35"/>
        <v>2088141.34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9838141.3399999999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9838141.3399999999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650000</v>
      </c>
      <c r="G501" s="204"/>
      <c r="H501" s="204"/>
      <c r="I501" s="204"/>
      <c r="J501" s="204"/>
      <c r="K501" s="205">
        <f t="shared" si="35"/>
        <v>650000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333481.26</v>
      </c>
      <c r="G502" s="18"/>
      <c r="H502" s="18"/>
      <c r="I502" s="18"/>
      <c r="J502" s="18"/>
      <c r="K502" s="53">
        <f t="shared" si="35"/>
        <v>333481.26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983481.26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983481.26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58000</v>
      </c>
      <c r="G512" s="24" t="s">
        <v>289</v>
      </c>
      <c r="H512" s="18">
        <v>5800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16013602.73</v>
      </c>
      <c r="G513" s="24" t="s">
        <v>289</v>
      </c>
      <c r="H513" s="18">
        <v>3578753.35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230724.67</v>
      </c>
      <c r="G514" s="24" t="s">
        <v>289</v>
      </c>
      <c r="H514" s="18">
        <v>143232.82999999999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>
        <v>12574541.220000001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16302327.4</v>
      </c>
      <c r="G517" s="42">
        <f>SUM(G511:G516)</f>
        <v>0</v>
      </c>
      <c r="H517" s="42">
        <f>SUM(H511:H516)</f>
        <v>3727786.18</v>
      </c>
      <c r="I517" s="42">
        <f>SUM(I511:I516)</f>
        <v>12574541.220000001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300942.65999999997</v>
      </c>
      <c r="G522" s="18">
        <v>201226.27</v>
      </c>
      <c r="H522" s="18">
        <v>4485</v>
      </c>
      <c r="I522" s="18">
        <v>2544.04</v>
      </c>
      <c r="J522" s="18">
        <v>443.71</v>
      </c>
      <c r="K522" s="18"/>
      <c r="L522" s="88">
        <f>SUM(F522:K522)</f>
        <v>509641.67999999993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214327.94</v>
      </c>
      <c r="G523" s="18">
        <v>143131.03</v>
      </c>
      <c r="H523" s="18">
        <v>362364.83</v>
      </c>
      <c r="I523" s="18">
        <v>4735.0600000000004</v>
      </c>
      <c r="J523" s="18">
        <v>824.02</v>
      </c>
      <c r="K523" s="18"/>
      <c r="L523" s="88">
        <f>SUM(F523:K523)</f>
        <v>725382.88000000012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515270.6</v>
      </c>
      <c r="G524" s="108">
        <f t="shared" ref="G524:L524" si="36">SUM(G521:G523)</f>
        <v>344357.3</v>
      </c>
      <c r="H524" s="108">
        <f t="shared" si="36"/>
        <v>366849.83</v>
      </c>
      <c r="I524" s="108">
        <f t="shared" si="36"/>
        <v>7279.1</v>
      </c>
      <c r="J524" s="108">
        <f t="shared" si="36"/>
        <v>1267.73</v>
      </c>
      <c r="K524" s="108">
        <f t="shared" si="36"/>
        <v>0</v>
      </c>
      <c r="L524" s="89">
        <f t="shared" si="36"/>
        <v>1235024.56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44994.400000000001</v>
      </c>
      <c r="I527" s="18"/>
      <c r="J527" s="18"/>
      <c r="K527" s="18"/>
      <c r="L527" s="88">
        <f>SUM(F527:K527)</f>
        <v>44994.400000000001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37598.550000000003</v>
      </c>
      <c r="I528" s="18"/>
      <c r="J528" s="18"/>
      <c r="K528" s="18"/>
      <c r="L528" s="88">
        <f>SUM(F528:K528)</f>
        <v>37598.550000000003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82592.950000000012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82592.950000000012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1062.95</v>
      </c>
      <c r="I542" s="18"/>
      <c r="J542" s="18"/>
      <c r="K542" s="18"/>
      <c r="L542" s="88">
        <f>SUM(F542:K542)</f>
        <v>1062.95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13335.73</v>
      </c>
      <c r="I543" s="18"/>
      <c r="J543" s="18"/>
      <c r="K543" s="18"/>
      <c r="L543" s="88">
        <f>SUM(F543:K543)</f>
        <v>13335.73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14398.68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14398.68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515270.6</v>
      </c>
      <c r="G545" s="89">
        <f t="shared" ref="G545:L545" si="41">G524+G529+G534+G539+G544</f>
        <v>344357.3</v>
      </c>
      <c r="H545" s="89">
        <f t="shared" si="41"/>
        <v>463841.46</v>
      </c>
      <c r="I545" s="89">
        <f t="shared" si="41"/>
        <v>7279.1</v>
      </c>
      <c r="J545" s="89">
        <f t="shared" si="41"/>
        <v>1267.73</v>
      </c>
      <c r="K545" s="89">
        <f t="shared" si="41"/>
        <v>0</v>
      </c>
      <c r="L545" s="89">
        <f t="shared" si="41"/>
        <v>1332016.19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509641.67999999993</v>
      </c>
      <c r="G550" s="87">
        <f>L527</f>
        <v>44994.400000000001</v>
      </c>
      <c r="H550" s="87">
        <f>L532</f>
        <v>0</v>
      </c>
      <c r="I550" s="87">
        <f>L537</f>
        <v>0</v>
      </c>
      <c r="J550" s="87">
        <f>L542</f>
        <v>1062.95</v>
      </c>
      <c r="K550" s="87">
        <f>SUM(F550:J550)</f>
        <v>555699.02999999991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725382.88000000012</v>
      </c>
      <c r="G551" s="87">
        <f>L528</f>
        <v>37598.550000000003</v>
      </c>
      <c r="H551" s="87">
        <f>L533</f>
        <v>0</v>
      </c>
      <c r="I551" s="87">
        <f>L538</f>
        <v>0</v>
      </c>
      <c r="J551" s="87">
        <f>L543</f>
        <v>13335.73</v>
      </c>
      <c r="K551" s="87">
        <f>SUM(F551:J551)</f>
        <v>776317.16000000015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1235024.56</v>
      </c>
      <c r="G552" s="89">
        <f t="shared" si="42"/>
        <v>82592.950000000012</v>
      </c>
      <c r="H552" s="89">
        <f t="shared" si="42"/>
        <v>0</v>
      </c>
      <c r="I552" s="89">
        <f t="shared" si="42"/>
        <v>0</v>
      </c>
      <c r="J552" s="89">
        <f t="shared" si="42"/>
        <v>14398.68</v>
      </c>
      <c r="K552" s="89">
        <f t="shared" si="42"/>
        <v>1332016.19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>
        <v>1646.23</v>
      </c>
      <c r="J568" s="18"/>
      <c r="K568" s="18"/>
      <c r="L568" s="88">
        <f>SUM(F568:K568)</f>
        <v>1646.23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>
        <v>3057.27</v>
      </c>
      <c r="J569" s="18"/>
      <c r="K569" s="18"/>
      <c r="L569" s="88">
        <f>SUM(F569:K569)</f>
        <v>3057.27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4703.5</v>
      </c>
      <c r="J570" s="193">
        <f t="shared" si="45"/>
        <v>0</v>
      </c>
      <c r="K570" s="193">
        <f t="shared" si="45"/>
        <v>0</v>
      </c>
      <c r="L570" s="193">
        <f t="shared" si="45"/>
        <v>4703.5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4703.5</v>
      </c>
      <c r="J571" s="89">
        <f t="shared" si="46"/>
        <v>0</v>
      </c>
      <c r="K571" s="89">
        <f t="shared" si="46"/>
        <v>0</v>
      </c>
      <c r="L571" s="89">
        <f t="shared" si="46"/>
        <v>4703.5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2610</v>
      </c>
      <c r="H582" s="18">
        <v>282000.32</v>
      </c>
      <c r="I582" s="87">
        <f t="shared" si="47"/>
        <v>284610.32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74443.509999999995</v>
      </c>
      <c r="I583" s="87">
        <f t="shared" si="47"/>
        <v>74443.509999999995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30112.74</v>
      </c>
      <c r="I584" s="87">
        <f t="shared" si="47"/>
        <v>30112.74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v>1062.95</v>
      </c>
      <c r="J592" s="18">
        <v>10323.08</v>
      </c>
      <c r="K592" s="104">
        <f t="shared" si="48"/>
        <v>11386.03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30316</v>
      </c>
      <c r="K593" s="104">
        <f t="shared" si="48"/>
        <v>30316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14901.73</v>
      </c>
      <c r="J594" s="18">
        <v>27674.61</v>
      </c>
      <c r="K594" s="104">
        <f t="shared" si="48"/>
        <v>42576.34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6084.51</v>
      </c>
      <c r="J595" s="18">
        <v>12233.09</v>
      </c>
      <c r="K595" s="104">
        <f t="shared" si="48"/>
        <v>18317.599999999999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22049.190000000002</v>
      </c>
      <c r="J598" s="108">
        <f>SUM(J591:J597)</f>
        <v>80546.78</v>
      </c>
      <c r="K598" s="108">
        <f>SUM(K591:K597)</f>
        <v>102595.97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>
        <v>17098.849999999999</v>
      </c>
      <c r="J604" s="18">
        <v>33542.89</v>
      </c>
      <c r="K604" s="104">
        <f>SUM(H604:J604)</f>
        <v>50641.74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17098.849999999999</v>
      </c>
      <c r="J605" s="108">
        <f>SUM(J602:J604)</f>
        <v>33542.89</v>
      </c>
      <c r="K605" s="108">
        <f>SUM(K602:K604)</f>
        <v>50641.74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539861.20000000007</v>
      </c>
      <c r="H617" s="109">
        <f>SUM(F52)</f>
        <v>539861.19999999995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297929.95999999996</v>
      </c>
      <c r="H621" s="109">
        <f>SUM(J52)</f>
        <v>297929.95999999996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457279.13</v>
      </c>
      <c r="H622" s="109">
        <f>F476</f>
        <v>457279.12999999989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297929.95999999996</v>
      </c>
      <c r="H626" s="109">
        <f>J476</f>
        <v>297929.95999999996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6415905.9799999995</v>
      </c>
      <c r="H627" s="104">
        <f>SUM(F468)</f>
        <v>6415905.9800000004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129431</v>
      </c>
      <c r="H628" s="104">
        <f>SUM(G468)</f>
        <v>129431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155895.35</v>
      </c>
      <c r="H629" s="104">
        <f>SUM(H468)</f>
        <v>155895.35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33.479999999999997</v>
      </c>
      <c r="H631" s="104">
        <f>SUM(J468)</f>
        <v>33.479999999999997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6182149.4100000001</v>
      </c>
      <c r="H632" s="104">
        <f>SUM(F472)</f>
        <v>6182149.4100000001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155895.35</v>
      </c>
      <c r="H633" s="104">
        <f>SUM(H472)</f>
        <v>155895.35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129431</v>
      </c>
      <c r="H635" s="104">
        <f>SUM(G472)</f>
        <v>129431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33.480000000000004</v>
      </c>
      <c r="H637" s="164">
        <f>SUM(J468)</f>
        <v>33.479999999999997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8819</v>
      </c>
      <c r="H638" s="164">
        <f>SUM(J472)</f>
        <v>8819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242687.08</v>
      </c>
      <c r="H639" s="104">
        <f>SUM(F461)</f>
        <v>242687.08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55242.879999999997</v>
      </c>
      <c r="H640" s="104">
        <f>SUM(G461)</f>
        <v>55242.879999999997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297929.95999999996</v>
      </c>
      <c r="H642" s="104">
        <f>SUM(I461)</f>
        <v>297929.95999999996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33.479999999999997</v>
      </c>
      <c r="H644" s="104">
        <f>H408</f>
        <v>33.480000000000004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33.479999999999997</v>
      </c>
      <c r="H646" s="104">
        <f>L408</f>
        <v>33.480000000000004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102595.97</v>
      </c>
      <c r="H647" s="104">
        <f>L208+L226+L244</f>
        <v>102595.97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50641.74</v>
      </c>
      <c r="H648" s="104">
        <f>(J257+J338)-(J255+J336)</f>
        <v>50641.74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22049.19</v>
      </c>
      <c r="H650" s="104">
        <f>I598</f>
        <v>22049.190000000002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80546.78</v>
      </c>
      <c r="H651" s="104">
        <f>J598</f>
        <v>80546.78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5460.1</v>
      </c>
      <c r="H652" s="104">
        <f>K263+K345</f>
        <v>5460.1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1958469.2800000003</v>
      </c>
      <c r="H660" s="19">
        <f>(L247+L328+L360)</f>
        <v>3464304.1199999996</v>
      </c>
      <c r="I660" s="19">
        <f>SUM(F660:H660)</f>
        <v>5422773.4000000004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25280.580499999996</v>
      </c>
      <c r="H661" s="19">
        <f>(L360/IF(SUM(L358:L360)=0,1,SUM(L358:L360))*(SUM(G97:G110)))</f>
        <v>46949.649499999992</v>
      </c>
      <c r="I661" s="19">
        <f>SUM(F661:H661)</f>
        <v>72230.229999999981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22049.19</v>
      </c>
      <c r="H662" s="19">
        <f>(L244+L325)-(J244+J325)</f>
        <v>80546.78</v>
      </c>
      <c r="I662" s="19">
        <f>SUM(F662:H662)</f>
        <v>102595.97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19708.849999999999</v>
      </c>
      <c r="H663" s="199">
        <f>SUM(H575:H587)+SUM(J602:J604)+L613</f>
        <v>420099.46</v>
      </c>
      <c r="I663" s="19">
        <f>SUM(F663:H663)</f>
        <v>439808.31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1891430.6595000003</v>
      </c>
      <c r="H664" s="19">
        <f>H660-SUM(H661:H663)</f>
        <v>2916708.2304999996</v>
      </c>
      <c r="I664" s="19">
        <f>I660-SUM(I661:I663)</f>
        <v>4808138.8900000006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80.09</v>
      </c>
      <c r="H665" s="248">
        <v>164.13</v>
      </c>
      <c r="I665" s="19">
        <f>SUM(F665:H665)</f>
        <v>244.22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23616.31</v>
      </c>
      <c r="H667" s="19">
        <f>ROUND(H664/H665,2)</f>
        <v>17770.72</v>
      </c>
      <c r="I667" s="19">
        <f>ROUND(I664/I665,2)</f>
        <v>19687.740000000002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-6.5</v>
      </c>
      <c r="I670" s="19">
        <f>SUM(F670:H670)</f>
        <v>-6.5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>
        <f>ROUND((G664+G669)/(G665+G670),2)</f>
        <v>23616.31</v>
      </c>
      <c r="H672" s="19">
        <f>ROUND((H664+H669)/(H665+H670),2)</f>
        <v>18503.509999999998</v>
      </c>
      <c r="I672" s="19">
        <f>ROUND((I664+I669)/(I665+I670),2)</f>
        <v>20226.060000000001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PROFILE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1260560.1199999999</v>
      </c>
      <c r="C9" s="229">
        <f>'DOE25'!G197+'DOE25'!G215+'DOE25'!G233+'DOE25'!G276+'DOE25'!G295+'DOE25'!G314</f>
        <v>518843.44999999995</v>
      </c>
    </row>
    <row r="10" spans="1:3" x14ac:dyDescent="0.2">
      <c r="A10" t="s">
        <v>779</v>
      </c>
      <c r="B10" s="240">
        <v>1197282.5900000001</v>
      </c>
      <c r="C10" s="240">
        <v>475829.51</v>
      </c>
    </row>
    <row r="11" spans="1:3" x14ac:dyDescent="0.2">
      <c r="A11" t="s">
        <v>780</v>
      </c>
      <c r="B11" s="240">
        <v>44207.53</v>
      </c>
      <c r="C11" s="240">
        <v>41555.08</v>
      </c>
    </row>
    <row r="12" spans="1:3" x14ac:dyDescent="0.2">
      <c r="A12" t="s">
        <v>781</v>
      </c>
      <c r="B12" s="240">
        <v>19070</v>
      </c>
      <c r="C12" s="240">
        <v>1458.86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1260560.1200000001</v>
      </c>
      <c r="C13" s="231">
        <f>SUM(C10:C12)</f>
        <v>518843.45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515270.6</v>
      </c>
      <c r="C18" s="229">
        <f>'DOE25'!G198+'DOE25'!G216+'DOE25'!G234+'DOE25'!G277+'DOE25'!G296+'DOE25'!G315</f>
        <v>344357.3</v>
      </c>
    </row>
    <row r="19" spans="1:3" x14ac:dyDescent="0.2">
      <c r="A19" t="s">
        <v>779</v>
      </c>
      <c r="B19" s="240">
        <v>217277.69</v>
      </c>
      <c r="C19" s="240">
        <v>82565.53</v>
      </c>
    </row>
    <row r="20" spans="1:3" x14ac:dyDescent="0.2">
      <c r="A20" t="s">
        <v>780</v>
      </c>
      <c r="B20" s="240">
        <v>297992.90999999997</v>
      </c>
      <c r="C20" s="240">
        <v>261791.77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515270.6</v>
      </c>
      <c r="C22" s="231">
        <f>SUM(C19:C21)</f>
        <v>344357.3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110620</v>
      </c>
      <c r="C27" s="234">
        <f>'DOE25'!G199+'DOE25'!G217+'DOE25'!G235+'DOE25'!G278+'DOE25'!G297+'DOE25'!G316</f>
        <v>59933.820000000007</v>
      </c>
    </row>
    <row r="28" spans="1:3" x14ac:dyDescent="0.2">
      <c r="A28" t="s">
        <v>779</v>
      </c>
      <c r="B28" s="240">
        <v>110620</v>
      </c>
      <c r="C28" s="240">
        <v>59933.82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110620</v>
      </c>
      <c r="C31" s="231">
        <f>SUM(C28:C30)</f>
        <v>59933.82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88922.81</v>
      </c>
      <c r="C36" s="235">
        <f>'DOE25'!G200+'DOE25'!G218+'DOE25'!G236+'DOE25'!G279+'DOE25'!G298+'DOE25'!G317</f>
        <v>14016.73</v>
      </c>
    </row>
    <row r="37" spans="1:3" x14ac:dyDescent="0.2">
      <c r="A37" t="s">
        <v>779</v>
      </c>
      <c r="B37" s="240">
        <v>39676.800000000003</v>
      </c>
      <c r="C37" s="240">
        <v>8835.59</v>
      </c>
    </row>
    <row r="38" spans="1:3" x14ac:dyDescent="0.2">
      <c r="A38" t="s">
        <v>780</v>
      </c>
      <c r="B38" s="240">
        <v>13127.25</v>
      </c>
      <c r="C38" s="240">
        <v>2418.0500000000002</v>
      </c>
    </row>
    <row r="39" spans="1:3" x14ac:dyDescent="0.2">
      <c r="A39" t="s">
        <v>781</v>
      </c>
      <c r="B39" s="240">
        <v>36118.76</v>
      </c>
      <c r="C39" s="240">
        <v>2763.09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88922.81</v>
      </c>
      <c r="C40" s="231">
        <f>SUM(C37:C39)</f>
        <v>14016.73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PROFILE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3306027</v>
      </c>
      <c r="D5" s="20">
        <f>SUM('DOE25'!L197:L200)+SUM('DOE25'!L215:L218)+SUM('DOE25'!L233:L236)-F5-G5</f>
        <v>3255367.27</v>
      </c>
      <c r="E5" s="243"/>
      <c r="F5" s="255">
        <f>SUM('DOE25'!J197:J200)+SUM('DOE25'!J215:J218)+SUM('DOE25'!J233:J236)</f>
        <v>32846.39</v>
      </c>
      <c r="G5" s="53">
        <f>SUM('DOE25'!K197:K200)+SUM('DOE25'!K215:K218)+SUM('DOE25'!K233:K236)</f>
        <v>17813.34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309191.08</v>
      </c>
      <c r="D6" s="20">
        <f>'DOE25'!L202+'DOE25'!L220+'DOE25'!L238-F6-G6</f>
        <v>308646.10000000003</v>
      </c>
      <c r="E6" s="243"/>
      <c r="F6" s="255">
        <f>'DOE25'!J202+'DOE25'!J220+'DOE25'!J238</f>
        <v>544.98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234205.12</v>
      </c>
      <c r="D7" s="20">
        <f>'DOE25'!L203+'DOE25'!L221+'DOE25'!L239-F7-G7</f>
        <v>191133.39</v>
      </c>
      <c r="E7" s="243"/>
      <c r="F7" s="255">
        <f>'DOE25'!J203+'DOE25'!J221+'DOE25'!J239</f>
        <v>3154.77</v>
      </c>
      <c r="G7" s="53">
        <f>'DOE25'!K203+'DOE25'!K221+'DOE25'!K239</f>
        <v>39916.959999999999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184530.16000000003</v>
      </c>
      <c r="D8" s="243"/>
      <c r="E8" s="20">
        <f>'DOE25'!L204+'DOE25'!L222+'DOE25'!L240-F8-G8-D9-D11</f>
        <v>170475.30000000002</v>
      </c>
      <c r="F8" s="255">
        <f>'DOE25'!J204+'DOE25'!J222+'DOE25'!J240</f>
        <v>0</v>
      </c>
      <c r="G8" s="53">
        <f>'DOE25'!K204+'DOE25'!K222+'DOE25'!K240</f>
        <v>14054.86</v>
      </c>
      <c r="H8" s="259"/>
    </row>
    <row r="9" spans="1:9" x14ac:dyDescent="0.2">
      <c r="A9" s="32">
        <v>2310</v>
      </c>
      <c r="B9" t="s">
        <v>818</v>
      </c>
      <c r="C9" s="245">
        <f t="shared" si="0"/>
        <v>73490.75</v>
      </c>
      <c r="D9" s="244">
        <v>73490.75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9760</v>
      </c>
      <c r="D10" s="243"/>
      <c r="E10" s="244">
        <v>9760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48650.97</v>
      </c>
      <c r="D11" s="244">
        <v>48650.97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374806.94000000006</v>
      </c>
      <c r="D12" s="20">
        <f>'DOE25'!L205+'DOE25'!L223+'DOE25'!L241-F12-G12</f>
        <v>370852.25000000006</v>
      </c>
      <c r="E12" s="243"/>
      <c r="F12" s="255">
        <f>'DOE25'!J205+'DOE25'!J223+'DOE25'!J241</f>
        <v>0</v>
      </c>
      <c r="G12" s="53">
        <f>'DOE25'!K205+'DOE25'!K223+'DOE25'!K241</f>
        <v>3954.6899999999996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503949.06000000006</v>
      </c>
      <c r="D14" s="20">
        <f>'DOE25'!L207+'DOE25'!L225+'DOE25'!L243-F14-G14</f>
        <v>492508.06000000006</v>
      </c>
      <c r="E14" s="243"/>
      <c r="F14" s="255">
        <f>'DOE25'!J207+'DOE25'!J225+'DOE25'!J243</f>
        <v>11441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102595.97</v>
      </c>
      <c r="D15" s="20">
        <f>'DOE25'!L208+'DOE25'!L226+'DOE25'!L244-F15-G15</f>
        <v>102595.97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1015981.26</v>
      </c>
      <c r="D25" s="243"/>
      <c r="E25" s="243"/>
      <c r="F25" s="258"/>
      <c r="G25" s="256"/>
      <c r="H25" s="257">
        <f>'DOE25'!L260+'DOE25'!L261+'DOE25'!L341+'DOE25'!L342</f>
        <v>1015981.26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129431</v>
      </c>
      <c r="D29" s="20">
        <f>'DOE25'!L358+'DOE25'!L359+'DOE25'!L360-'DOE25'!I367-F29-G29</f>
        <v>129431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155895.35</v>
      </c>
      <c r="D31" s="20">
        <f>'DOE25'!L290+'DOE25'!L309+'DOE25'!L328+'DOE25'!L333+'DOE25'!L334+'DOE25'!L335-F31-G31</f>
        <v>143245.95000000001</v>
      </c>
      <c r="E31" s="243"/>
      <c r="F31" s="255">
        <f>'DOE25'!J290+'DOE25'!J309+'DOE25'!J328+'DOE25'!J333+'DOE25'!J334+'DOE25'!J335</f>
        <v>2654.6</v>
      </c>
      <c r="G31" s="53">
        <f>'DOE25'!K290+'DOE25'!K309+'DOE25'!K328+'DOE25'!K333+'DOE25'!K334+'DOE25'!K335</f>
        <v>9994.7999999999993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5115921.7100000009</v>
      </c>
      <c r="E33" s="246">
        <f>SUM(E5:E31)</f>
        <v>180235.30000000002</v>
      </c>
      <c r="F33" s="246">
        <f>SUM(F5:F31)</f>
        <v>50641.74</v>
      </c>
      <c r="G33" s="246">
        <f>SUM(G5:G31)</f>
        <v>85734.650000000009</v>
      </c>
      <c r="H33" s="246">
        <f>SUM(H5:H31)</f>
        <v>1015981.26</v>
      </c>
    </row>
    <row r="35" spans="2:8" ht="12" thickBot="1" x14ac:dyDescent="0.25">
      <c r="B35" s="253" t="s">
        <v>847</v>
      </c>
      <c r="D35" s="254">
        <f>E33</f>
        <v>180235.30000000002</v>
      </c>
      <c r="E35" s="249"/>
    </row>
    <row r="36" spans="2:8" ht="12" thickTop="1" x14ac:dyDescent="0.2">
      <c r="B36" t="s">
        <v>815</v>
      </c>
      <c r="D36" s="20">
        <f>D33</f>
        <v>5115921.7100000009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90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PROFILE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532533.06000000006</v>
      </c>
      <c r="D8" s="95">
        <f>'DOE25'!G9</f>
        <v>-21705.49</v>
      </c>
      <c r="E8" s="95">
        <f>'DOE25'!H9</f>
        <v>-16307.73</v>
      </c>
      <c r="F8" s="95">
        <f>'DOE25'!I9</f>
        <v>0</v>
      </c>
      <c r="G8" s="95">
        <f>'DOE25'!J9</f>
        <v>297929.95999999996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705.21</v>
      </c>
      <c r="D12" s="95">
        <f>'DOE25'!G13</f>
        <v>8018.04</v>
      </c>
      <c r="E12" s="95">
        <f>'DOE25'!H13</f>
        <v>16307.73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6622.93</v>
      </c>
      <c r="D13" s="95">
        <f>'DOE25'!G14</f>
        <v>13687.45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539861.20000000007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297929.95999999996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5460.1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77121.97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82582.070000000007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146850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297929.95999999996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310429.13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457279.13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297929.95999999996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539861.19999999995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297929.95999999996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4287488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391.52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33.479999999999997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72230.23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18529.11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18920.63</v>
      </c>
      <c r="D62" s="130">
        <f>SUM(D57:D61)</f>
        <v>72230.23</v>
      </c>
      <c r="E62" s="130">
        <f>SUM(E57:E61)</f>
        <v>0</v>
      </c>
      <c r="F62" s="130">
        <f>SUM(F57:F61)</f>
        <v>0</v>
      </c>
      <c r="G62" s="130">
        <f>SUM(G57:G61)</f>
        <v>33.479999999999997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4306408.63</v>
      </c>
      <c r="D63" s="22">
        <f>D56+D62</f>
        <v>72230.23</v>
      </c>
      <c r="E63" s="22">
        <f>E56+E62</f>
        <v>0</v>
      </c>
      <c r="F63" s="22">
        <f>F56+F62</f>
        <v>0</v>
      </c>
      <c r="G63" s="22">
        <f>G56+G62</f>
        <v>33.479999999999997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713685.13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861347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1575032.13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359724.56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75606.820000000007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3938.8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1712.09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439270.18</v>
      </c>
      <c r="D78" s="130">
        <f>SUM(D72:D77)</f>
        <v>1712.09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2014302.3099999998</v>
      </c>
      <c r="D81" s="130">
        <f>SUM(D79:D80)+D78+D70</f>
        <v>1712.09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74387.45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94611.71</v>
      </c>
      <c r="D88" s="95">
        <f>SUM('DOE25'!G153:G161)</f>
        <v>50028.58</v>
      </c>
      <c r="E88" s="95">
        <f>SUM('DOE25'!H153:H161)</f>
        <v>81507.899999999994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584.03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95195.74</v>
      </c>
      <c r="D91" s="131">
        <f>SUM(D85:D90)</f>
        <v>50028.58</v>
      </c>
      <c r="E91" s="131">
        <f>SUM(E85:E90)</f>
        <v>155895.34999999998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5460.1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-0.7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-0.7</v>
      </c>
      <c r="D103" s="86">
        <f>SUM(D93:D102)</f>
        <v>5460.1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6415905.9799999995</v>
      </c>
      <c r="D104" s="86">
        <f>D63+D81+D91+D103</f>
        <v>129431</v>
      </c>
      <c r="E104" s="86">
        <f>E63+E81+E91+E103</f>
        <v>155895.34999999998</v>
      </c>
      <c r="F104" s="86">
        <f>F63+F81+F91+F103</f>
        <v>0</v>
      </c>
      <c r="G104" s="86">
        <f>G63+G81+G103</f>
        <v>33.479999999999997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1856235.18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1077722.7000000002</v>
      </c>
      <c r="D110" s="24" t="s">
        <v>289</v>
      </c>
      <c r="E110" s="95">
        <f>('DOE25'!L277)+('DOE25'!L296)+('DOE25'!L315)</f>
        <v>95453.36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213238.38999999998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158830.72999999998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3306027</v>
      </c>
      <c r="D115" s="86">
        <f>SUM(D109:D114)</f>
        <v>0</v>
      </c>
      <c r="E115" s="86">
        <f>SUM(E109:E114)</f>
        <v>95453.36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309191.08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234205.12</v>
      </c>
      <c r="D119" s="24" t="s">
        <v>289</v>
      </c>
      <c r="E119" s="95">
        <f>+('DOE25'!L282)+('DOE25'!L301)+('DOE25'!L320)</f>
        <v>51147.19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306671.88</v>
      </c>
      <c r="D120" s="24" t="s">
        <v>289</v>
      </c>
      <c r="E120" s="95">
        <f>+('DOE25'!L283)+('DOE25'!L302)+('DOE25'!L321)</f>
        <v>9294.7999999999993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374806.94000000006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503949.06000000006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102595.97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129431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1831420.05</v>
      </c>
      <c r="D128" s="86">
        <f>SUM(D118:D127)</f>
        <v>129431</v>
      </c>
      <c r="E128" s="86">
        <f>SUM(E118:E127)</f>
        <v>60441.990000000005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365981.26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5460.1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33.480000000000004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-33.480000000000004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23261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1044702.36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6182149.4100000001</v>
      </c>
      <c r="D145" s="86">
        <f>(D115+D128+D144)</f>
        <v>129431</v>
      </c>
      <c r="E145" s="86">
        <f>(E115+E128+E144)</f>
        <v>155895.35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12948800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8400000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8400000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650000</v>
      </c>
    </row>
    <row r="159" spans="1:9" x14ac:dyDescent="0.2">
      <c r="A159" s="22" t="s">
        <v>35</v>
      </c>
      <c r="B159" s="137">
        <f>'DOE25'!F498</f>
        <v>7750000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7750000</v>
      </c>
    </row>
    <row r="160" spans="1:9" x14ac:dyDescent="0.2">
      <c r="A160" s="22" t="s">
        <v>36</v>
      </c>
      <c r="B160" s="137">
        <f>'DOE25'!F499</f>
        <v>2088141.34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2088141.34</v>
      </c>
    </row>
    <row r="161" spans="1:7" x14ac:dyDescent="0.2">
      <c r="A161" s="22" t="s">
        <v>37</v>
      </c>
      <c r="B161" s="137">
        <f>'DOE25'!F500</f>
        <v>9838141.3399999999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9838141.3399999999</v>
      </c>
    </row>
    <row r="162" spans="1:7" x14ac:dyDescent="0.2">
      <c r="A162" s="22" t="s">
        <v>38</v>
      </c>
      <c r="B162" s="137">
        <f>'DOE25'!F501</f>
        <v>650000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650000</v>
      </c>
    </row>
    <row r="163" spans="1:7" x14ac:dyDescent="0.2">
      <c r="A163" s="22" t="s">
        <v>39</v>
      </c>
      <c r="B163" s="137">
        <f>'DOE25'!F502</f>
        <v>333481.26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333481.26</v>
      </c>
    </row>
    <row r="164" spans="1:7" x14ac:dyDescent="0.2">
      <c r="A164" s="22" t="s">
        <v>246</v>
      </c>
      <c r="B164" s="137">
        <f>'DOE25'!F503</f>
        <v>983481.26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983481.26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PROFILE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23616</v>
      </c>
    </row>
    <row r="6" spans="1:4" x14ac:dyDescent="0.2">
      <c r="B6" t="s">
        <v>62</v>
      </c>
      <c r="C6" s="179">
        <f>IF('DOE25'!H665+'DOE25'!H670=0,0,ROUND('DOE25'!H672,0))</f>
        <v>18504</v>
      </c>
    </row>
    <row r="7" spans="1:4" x14ac:dyDescent="0.2">
      <c r="B7" t="s">
        <v>705</v>
      </c>
      <c r="C7" s="179">
        <f>IF('DOE25'!I665+'DOE25'!I670=0,0,ROUND('DOE25'!I672,0))</f>
        <v>20226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1856235</v>
      </c>
      <c r="D10" s="182">
        <f>ROUND((C10/$C$28)*100,1)</f>
        <v>32.299999999999997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1173176</v>
      </c>
      <c r="D11" s="182">
        <f>ROUND((C11/$C$28)*100,1)</f>
        <v>20.399999999999999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213238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158831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309191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285352</v>
      </c>
      <c r="D16" s="182">
        <f t="shared" si="0"/>
        <v>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315967</v>
      </c>
      <c r="D17" s="182">
        <f t="shared" si="0"/>
        <v>5.5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374807</v>
      </c>
      <c r="D18" s="182">
        <f t="shared" si="0"/>
        <v>6.5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503949</v>
      </c>
      <c r="D20" s="182">
        <f t="shared" si="0"/>
        <v>8.8000000000000007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102596</v>
      </c>
      <c r="D21" s="182">
        <f t="shared" si="0"/>
        <v>1.8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365981</v>
      </c>
      <c r="D25" s="182">
        <f t="shared" si="0"/>
        <v>6.4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23261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57200.770000000004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5739784.7699999996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5739784.7699999996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650000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4287488</v>
      </c>
      <c r="D35" s="182">
        <f t="shared" ref="D35:D40" si="1">ROUND((C35/$C$41)*100,1)</f>
        <v>64.7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18954.110000000335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1575032</v>
      </c>
      <c r="D37" s="182">
        <f t="shared" si="1"/>
        <v>23.8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440982</v>
      </c>
      <c r="D38" s="182">
        <f t="shared" si="1"/>
        <v>6.7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301120</v>
      </c>
      <c r="D39" s="182">
        <f t="shared" si="1"/>
        <v>4.5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6623576.1100000003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PROFILE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2015-10-26T11:55:00Z</cp:lastPrinted>
  <dcterms:created xsi:type="dcterms:W3CDTF">1997-12-04T19:04:30Z</dcterms:created>
  <dcterms:modified xsi:type="dcterms:W3CDTF">2015-11-30T13:52:18Z</dcterms:modified>
</cp:coreProperties>
</file>