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46" i="1"/>
  <c r="H226" i="1" l="1"/>
  <c r="H208" i="1"/>
  <c r="J218" i="1"/>
  <c r="I218" i="1"/>
  <c r="H218" i="1"/>
  <c r="G218" i="1"/>
  <c r="F218" i="1"/>
  <c r="J200" i="1"/>
  <c r="I200" i="1"/>
  <c r="H200" i="1"/>
  <c r="G200" i="1"/>
  <c r="F200" i="1"/>
  <c r="J236" i="1"/>
  <c r="I236" i="1"/>
  <c r="H236" i="1"/>
  <c r="G236" i="1"/>
  <c r="F236" i="1"/>
  <c r="D9" i="13" l="1"/>
  <c r="G97" i="1" l="1"/>
  <c r="G613" i="1" l="1"/>
  <c r="G612" i="1"/>
  <c r="F564" i="1"/>
  <c r="F563" i="1"/>
  <c r="G528" i="1"/>
  <c r="G527" i="1"/>
  <c r="G526" i="1"/>
  <c r="F528" i="1"/>
  <c r="F527" i="1"/>
  <c r="F526" i="1"/>
  <c r="I528" i="1"/>
  <c r="I527" i="1"/>
  <c r="I526" i="1"/>
  <c r="H543" i="1" l="1"/>
  <c r="H542" i="1"/>
  <c r="H541" i="1"/>
  <c r="I564" i="1"/>
  <c r="I563" i="1"/>
  <c r="I562" i="1"/>
  <c r="G564" i="1"/>
  <c r="G563" i="1"/>
  <c r="G562" i="1"/>
  <c r="F562" i="1"/>
  <c r="H538" i="1"/>
  <c r="H537" i="1"/>
  <c r="H536" i="1"/>
  <c r="I523" i="1"/>
  <c r="H523" i="1"/>
  <c r="G523" i="1"/>
  <c r="F523" i="1"/>
  <c r="I522" i="1"/>
  <c r="H522" i="1"/>
  <c r="G522" i="1"/>
  <c r="F522" i="1"/>
  <c r="I521" i="1"/>
  <c r="H521" i="1"/>
  <c r="G521" i="1"/>
  <c r="F521" i="1"/>
  <c r="K523" i="1"/>
  <c r="J523" i="1"/>
  <c r="K522" i="1"/>
  <c r="J522" i="1"/>
  <c r="K521" i="1"/>
  <c r="J521" i="1"/>
  <c r="J604" i="1" l="1"/>
  <c r="I604" i="1"/>
  <c r="H604" i="1"/>
  <c r="J597" i="1"/>
  <c r="I597" i="1"/>
  <c r="H597" i="1"/>
  <c r="J592" i="1"/>
  <c r="I592" i="1"/>
  <c r="H592" i="1"/>
  <c r="J591" i="1"/>
  <c r="I591" i="1"/>
  <c r="H591" i="1"/>
  <c r="J593" i="1"/>
  <c r="J595" i="1"/>
  <c r="J594" i="1"/>
  <c r="I594" i="1"/>
  <c r="I595" i="1"/>
  <c r="H595" i="1"/>
  <c r="H403" i="1"/>
  <c r="G400" i="1"/>
  <c r="G399" i="1"/>
  <c r="G396" i="1"/>
  <c r="H400" i="1"/>
  <c r="H399" i="1"/>
  <c r="H397" i="1"/>
  <c r="H396" i="1"/>
  <c r="I468" i="1"/>
  <c r="F472" i="1"/>
  <c r="H368" i="1"/>
  <c r="H367" i="1"/>
  <c r="G368" i="1"/>
  <c r="G367" i="1"/>
  <c r="F368" i="1"/>
  <c r="F367" i="1"/>
  <c r="K360" i="1"/>
  <c r="I360" i="1"/>
  <c r="H360" i="1"/>
  <c r="G360" i="1"/>
  <c r="F360" i="1"/>
  <c r="K359" i="1"/>
  <c r="I359" i="1"/>
  <c r="H359" i="1"/>
  <c r="G359" i="1"/>
  <c r="F359" i="1"/>
  <c r="K358" i="1"/>
  <c r="I358" i="1"/>
  <c r="H358" i="1"/>
  <c r="G358" i="1"/>
  <c r="F358" i="1"/>
  <c r="H287" i="1"/>
  <c r="H306" i="1"/>
  <c r="H320" i="1"/>
  <c r="G320" i="1"/>
  <c r="F320" i="1"/>
  <c r="H301" i="1"/>
  <c r="G301" i="1"/>
  <c r="F301" i="1"/>
  <c r="H282" i="1"/>
  <c r="G282" i="1"/>
  <c r="F282" i="1"/>
  <c r="H319" i="1"/>
  <c r="G319" i="1"/>
  <c r="F319" i="1"/>
  <c r="H300" i="1"/>
  <c r="G300" i="1"/>
  <c r="F300" i="1"/>
  <c r="H281" i="1"/>
  <c r="G281" i="1"/>
  <c r="F281" i="1"/>
  <c r="H298" i="1"/>
  <c r="G298" i="1"/>
  <c r="F298" i="1"/>
  <c r="H279" i="1"/>
  <c r="G279" i="1"/>
  <c r="F279" i="1"/>
  <c r="I277" i="1"/>
  <c r="I315" i="1"/>
  <c r="H315" i="1"/>
  <c r="G315" i="1"/>
  <c r="F315" i="1"/>
  <c r="I296" i="1"/>
  <c r="H296" i="1"/>
  <c r="G296" i="1"/>
  <c r="F296" i="1"/>
  <c r="H277" i="1"/>
  <c r="G277" i="1"/>
  <c r="F277" i="1"/>
  <c r="H314" i="1"/>
  <c r="H295" i="1"/>
  <c r="H276" i="1"/>
  <c r="I320" i="1"/>
  <c r="J315" i="1"/>
  <c r="J314" i="1"/>
  <c r="I314" i="1"/>
  <c r="I300" i="1"/>
  <c r="J295" i="1"/>
  <c r="G295" i="1"/>
  <c r="F295" i="1"/>
  <c r="I281" i="1"/>
  <c r="J276" i="1" l="1"/>
  <c r="I276" i="1"/>
  <c r="G276" i="1"/>
  <c r="F276" i="1"/>
  <c r="H155" i="1" l="1"/>
  <c r="H154" i="1"/>
  <c r="H159" i="1"/>
  <c r="I253" i="1" l="1"/>
  <c r="K261" i="1" l="1"/>
  <c r="K260" i="1"/>
  <c r="H245" i="1"/>
  <c r="H227" i="1"/>
  <c r="H209" i="1"/>
  <c r="H244" i="1"/>
  <c r="J243" i="1"/>
  <c r="I243" i="1"/>
  <c r="H243" i="1"/>
  <c r="G243" i="1"/>
  <c r="F243" i="1"/>
  <c r="J225" i="1"/>
  <c r="I225" i="1"/>
  <c r="H225" i="1"/>
  <c r="G225" i="1"/>
  <c r="F225" i="1"/>
  <c r="J207" i="1"/>
  <c r="I207" i="1"/>
  <c r="H207" i="1"/>
  <c r="G207" i="1"/>
  <c r="F207" i="1"/>
  <c r="K242" i="1"/>
  <c r="H242" i="1"/>
  <c r="G242" i="1"/>
  <c r="F242" i="1"/>
  <c r="K224" i="1"/>
  <c r="H224" i="1"/>
  <c r="G224" i="1"/>
  <c r="F224" i="1"/>
  <c r="K206" i="1"/>
  <c r="H206" i="1"/>
  <c r="G206" i="1"/>
  <c r="F206" i="1"/>
  <c r="K240" i="1"/>
  <c r="I240" i="1"/>
  <c r="H240" i="1"/>
  <c r="G240" i="1"/>
  <c r="F240" i="1"/>
  <c r="K222" i="1"/>
  <c r="I222" i="1"/>
  <c r="H222" i="1"/>
  <c r="G222" i="1"/>
  <c r="F222" i="1"/>
  <c r="K204" i="1"/>
  <c r="I204" i="1"/>
  <c r="H204" i="1"/>
  <c r="G204" i="1"/>
  <c r="F204" i="1"/>
  <c r="J239" i="1"/>
  <c r="I239" i="1"/>
  <c r="H239" i="1"/>
  <c r="G239" i="1"/>
  <c r="F239" i="1"/>
  <c r="J221" i="1"/>
  <c r="I221" i="1"/>
  <c r="H221" i="1"/>
  <c r="G221" i="1"/>
  <c r="F221" i="1"/>
  <c r="J203" i="1"/>
  <c r="I203" i="1"/>
  <c r="H203" i="1"/>
  <c r="G203" i="1"/>
  <c r="F203" i="1"/>
  <c r="I238" i="1"/>
  <c r="G238" i="1"/>
  <c r="F238" i="1"/>
  <c r="I220" i="1"/>
  <c r="G220" i="1"/>
  <c r="F220" i="1"/>
  <c r="I202" i="1"/>
  <c r="G202" i="1"/>
  <c r="F202" i="1"/>
  <c r="K234" i="1"/>
  <c r="J234" i="1"/>
  <c r="I234" i="1"/>
  <c r="H234" i="1"/>
  <c r="G234" i="1"/>
  <c r="F234" i="1"/>
  <c r="K216" i="1"/>
  <c r="J216" i="1"/>
  <c r="I216" i="1"/>
  <c r="H216" i="1"/>
  <c r="G216" i="1"/>
  <c r="F216" i="1"/>
  <c r="K198" i="1"/>
  <c r="J198" i="1"/>
  <c r="I198" i="1"/>
  <c r="H198" i="1"/>
  <c r="G198" i="1"/>
  <c r="F198" i="1"/>
  <c r="H233" i="1"/>
  <c r="G233" i="1"/>
  <c r="F233" i="1"/>
  <c r="H215" i="1"/>
  <c r="G215" i="1"/>
  <c r="F215" i="1"/>
  <c r="H197" i="1"/>
  <c r="G197" i="1"/>
  <c r="F197" i="1"/>
  <c r="F205" i="1" l="1"/>
  <c r="I233" i="1"/>
  <c r="K241" i="1"/>
  <c r="K236" i="1"/>
  <c r="K233" i="1"/>
  <c r="J233" i="1"/>
  <c r="I241" i="1"/>
  <c r="H241" i="1"/>
  <c r="H235" i="1"/>
  <c r="H238" i="1"/>
  <c r="G241" i="1"/>
  <c r="F241" i="1"/>
  <c r="K223" i="1" l="1"/>
  <c r="J215" i="1"/>
  <c r="I215" i="1"/>
  <c r="I223" i="1"/>
  <c r="H223" i="1"/>
  <c r="H220" i="1"/>
  <c r="G223" i="1"/>
  <c r="F223" i="1"/>
  <c r="K205" i="1"/>
  <c r="J197" i="1"/>
  <c r="I197" i="1"/>
  <c r="I205" i="1"/>
  <c r="H205" i="1"/>
  <c r="H202" i="1"/>
  <c r="G205" i="1"/>
  <c r="F102" i="1" l="1"/>
  <c r="F98" i="1"/>
  <c r="F110" i="1" l="1"/>
  <c r="F9" i="1"/>
  <c r="F24" i="1"/>
  <c r="F28" i="1"/>
  <c r="F29" i="1"/>
  <c r="J360" i="1" l="1"/>
  <c r="J358" i="1"/>
  <c r="J426" i="1"/>
  <c r="J472" i="1"/>
  <c r="J468" i="1"/>
  <c r="G439" i="1"/>
  <c r="K379" i="1" l="1"/>
  <c r="H379" i="1"/>
  <c r="G502" i="1" l="1"/>
  <c r="G498" i="1"/>
  <c r="F502" i="1"/>
  <c r="F501" i="1"/>
  <c r="F49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G651" i="1" s="1"/>
  <c r="F17" i="13"/>
  <c r="G17" i="13"/>
  <c r="D17" i="13" s="1"/>
  <c r="C17" i="13" s="1"/>
  <c r="L251" i="1"/>
  <c r="F18" i="13"/>
  <c r="G18" i="13"/>
  <c r="L252" i="1"/>
  <c r="F19" i="13"/>
  <c r="G19" i="13"/>
  <c r="D19" i="13" s="1"/>
  <c r="C19" i="13" s="1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E111" i="2" s="1"/>
  <c r="L279" i="1"/>
  <c r="L281" i="1"/>
  <c r="E118" i="2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132" i="2" s="1"/>
  <c r="L341" i="1"/>
  <c r="L342" i="1"/>
  <c r="L351" i="1" s="1"/>
  <c r="L255" i="1"/>
  <c r="L336" i="1"/>
  <c r="F22" i="13" s="1"/>
  <c r="C22" i="13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E56" i="2" s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H140" i="1" s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E113" i="2" s="1"/>
  <c r="L254" i="1"/>
  <c r="L268" i="1"/>
  <c r="L269" i="1"/>
  <c r="L349" i="1"/>
  <c r="E142" i="2" s="1"/>
  <c r="L350" i="1"/>
  <c r="I665" i="1"/>
  <c r="I670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J552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C18" i="2" s="1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D81" i="2" s="1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3" i="2"/>
  <c r="C114" i="2"/>
  <c r="D115" i="2"/>
  <c r="F115" i="2"/>
  <c r="G115" i="2"/>
  <c r="E120" i="2"/>
  <c r="E121" i="2"/>
  <c r="E122" i="2"/>
  <c r="E123" i="2"/>
  <c r="C125" i="2"/>
  <c r="F128" i="2"/>
  <c r="G128" i="2"/>
  <c r="C130" i="2"/>
  <c r="E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C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I401" i="1"/>
  <c r="F407" i="1"/>
  <c r="G407" i="1"/>
  <c r="G408" i="1" s="1"/>
  <c r="H645" i="1" s="1"/>
  <c r="H407" i="1"/>
  <c r="I407" i="1"/>
  <c r="F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F460" i="1"/>
  <c r="G460" i="1"/>
  <c r="G461" i="1" s="1"/>
  <c r="H640" i="1" s="1"/>
  <c r="H460" i="1"/>
  <c r="H461" i="1" s="1"/>
  <c r="H641" i="1" s="1"/>
  <c r="F461" i="1"/>
  <c r="F470" i="1"/>
  <c r="G470" i="1"/>
  <c r="H470" i="1"/>
  <c r="I470" i="1"/>
  <c r="I476" i="1" s="1"/>
  <c r="H625" i="1" s="1"/>
  <c r="J470" i="1"/>
  <c r="F474" i="1"/>
  <c r="G474" i="1"/>
  <c r="H474" i="1"/>
  <c r="I474" i="1"/>
  <c r="J474" i="1"/>
  <c r="J476" i="1" s="1"/>
  <c r="H626" i="1" s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J571" i="1" s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3" i="1"/>
  <c r="H643" i="1"/>
  <c r="J643" i="1" s="1"/>
  <c r="G644" i="1"/>
  <c r="G645" i="1"/>
  <c r="G652" i="1"/>
  <c r="H652" i="1"/>
  <c r="G653" i="1"/>
  <c r="H653" i="1"/>
  <c r="G654" i="1"/>
  <c r="H654" i="1"/>
  <c r="H655" i="1"/>
  <c r="J655" i="1" s="1"/>
  <c r="C26" i="10"/>
  <c r="D18" i="13"/>
  <c r="C18" i="13" s="1"/>
  <c r="C91" i="2"/>
  <c r="G157" i="2"/>
  <c r="E103" i="2"/>
  <c r="E78" i="2"/>
  <c r="E81" i="2" s="1"/>
  <c r="J639" i="1"/>
  <c r="K571" i="1"/>
  <c r="L419" i="1"/>
  <c r="I169" i="1"/>
  <c r="G338" i="1"/>
  <c r="G352" i="1" s="1"/>
  <c r="J140" i="1"/>
  <c r="K545" i="1"/>
  <c r="C29" i="10"/>
  <c r="L393" i="1"/>
  <c r="H571" i="1"/>
  <c r="G192" i="1"/>
  <c r="E16" i="13"/>
  <c r="C16" i="13" s="1"/>
  <c r="G36" i="2"/>
  <c r="C138" i="2"/>
  <c r="F192" i="1" l="1"/>
  <c r="G161" i="2"/>
  <c r="D91" i="2"/>
  <c r="I552" i="1"/>
  <c r="K550" i="1"/>
  <c r="G552" i="1"/>
  <c r="A31" i="12"/>
  <c r="C12" i="10"/>
  <c r="J651" i="1"/>
  <c r="G476" i="1"/>
  <c r="H623" i="1" s="1"/>
  <c r="J623" i="1" s="1"/>
  <c r="I460" i="1"/>
  <c r="I452" i="1"/>
  <c r="C78" i="2"/>
  <c r="C70" i="2"/>
  <c r="E112" i="2"/>
  <c r="E125" i="2"/>
  <c r="J545" i="1"/>
  <c r="L270" i="1"/>
  <c r="D50" i="2"/>
  <c r="I571" i="1"/>
  <c r="L544" i="1"/>
  <c r="I545" i="1"/>
  <c r="F476" i="1"/>
  <c r="H622" i="1" s="1"/>
  <c r="J622" i="1" s="1"/>
  <c r="J645" i="1"/>
  <c r="I52" i="1"/>
  <c r="H620" i="1" s="1"/>
  <c r="D62" i="2"/>
  <c r="D63" i="2" s="1"/>
  <c r="G62" i="2"/>
  <c r="L328" i="1"/>
  <c r="H112" i="1"/>
  <c r="L565" i="1"/>
  <c r="H552" i="1"/>
  <c r="L534" i="1"/>
  <c r="G545" i="1"/>
  <c r="L529" i="1"/>
  <c r="A40" i="12"/>
  <c r="A13" i="12"/>
  <c r="K549" i="1"/>
  <c r="K551" i="1"/>
  <c r="H545" i="1"/>
  <c r="F552" i="1"/>
  <c r="L524" i="1"/>
  <c r="K598" i="1"/>
  <c r="G647" i="1" s="1"/>
  <c r="H408" i="1"/>
  <c r="H644" i="1" s="1"/>
  <c r="J644" i="1"/>
  <c r="L401" i="1"/>
  <c r="C139" i="2" s="1"/>
  <c r="E31" i="2"/>
  <c r="H476" i="1"/>
  <c r="H624" i="1" s="1"/>
  <c r="J624" i="1" s="1"/>
  <c r="E124" i="2"/>
  <c r="G662" i="1"/>
  <c r="C21" i="10"/>
  <c r="F338" i="1"/>
  <c r="F352" i="1" s="1"/>
  <c r="H338" i="1"/>
  <c r="H352" i="1" s="1"/>
  <c r="E119" i="2"/>
  <c r="E109" i="2"/>
  <c r="E110" i="2"/>
  <c r="L309" i="1"/>
  <c r="J338" i="1"/>
  <c r="J352" i="1" s="1"/>
  <c r="L290" i="1"/>
  <c r="E57" i="2"/>
  <c r="E62" i="2" s="1"/>
  <c r="E63" i="2" s="1"/>
  <c r="H52" i="1"/>
  <c r="H619" i="1" s="1"/>
  <c r="J619" i="1" s="1"/>
  <c r="L256" i="1"/>
  <c r="C25" i="10"/>
  <c r="H25" i="13"/>
  <c r="E13" i="13"/>
  <c r="C13" i="13" s="1"/>
  <c r="C122" i="2"/>
  <c r="C19" i="10"/>
  <c r="C17" i="10"/>
  <c r="E8" i="13"/>
  <c r="C8" i="13" s="1"/>
  <c r="C120" i="2"/>
  <c r="C16" i="10"/>
  <c r="C13" i="10"/>
  <c r="C111" i="2"/>
  <c r="D7" i="13"/>
  <c r="C7" i="13" s="1"/>
  <c r="D14" i="13"/>
  <c r="C14" i="13" s="1"/>
  <c r="L247" i="1"/>
  <c r="K257" i="1"/>
  <c r="K271" i="1" s="1"/>
  <c r="J257" i="1"/>
  <c r="J271" i="1" s="1"/>
  <c r="I257" i="1"/>
  <c r="I271" i="1" s="1"/>
  <c r="H257" i="1"/>
  <c r="H271" i="1" s="1"/>
  <c r="C11" i="10"/>
  <c r="G257" i="1"/>
  <c r="G271" i="1" s="1"/>
  <c r="C20" i="10"/>
  <c r="L229" i="1"/>
  <c r="C112" i="2"/>
  <c r="C109" i="2"/>
  <c r="D12" i="13"/>
  <c r="C12" i="13" s="1"/>
  <c r="C119" i="2"/>
  <c r="C15" i="10"/>
  <c r="D6" i="13"/>
  <c r="C6" i="13" s="1"/>
  <c r="F257" i="1"/>
  <c r="F271" i="1" s="1"/>
  <c r="C121" i="2"/>
  <c r="F662" i="1"/>
  <c r="C124" i="2"/>
  <c r="H647" i="1"/>
  <c r="G649" i="1"/>
  <c r="J649" i="1" s="1"/>
  <c r="D15" i="13"/>
  <c r="C15" i="13" s="1"/>
  <c r="C18" i="10"/>
  <c r="C118" i="2"/>
  <c r="C110" i="2"/>
  <c r="C123" i="2"/>
  <c r="L211" i="1"/>
  <c r="C10" i="10"/>
  <c r="D5" i="13"/>
  <c r="C5" i="13" s="1"/>
  <c r="K352" i="1"/>
  <c r="C62" i="2"/>
  <c r="C63" i="2" s="1"/>
  <c r="J617" i="1"/>
  <c r="D29" i="13"/>
  <c r="C29" i="13" s="1"/>
  <c r="J634" i="1"/>
  <c r="L362" i="1"/>
  <c r="G635" i="1" s="1"/>
  <c r="J635" i="1" s="1"/>
  <c r="D127" i="2"/>
  <c r="D128" i="2" s="1"/>
  <c r="D145" i="2" s="1"/>
  <c r="H661" i="1"/>
  <c r="F661" i="1"/>
  <c r="G661" i="1"/>
  <c r="D31" i="2"/>
  <c r="D51" i="2" s="1"/>
  <c r="D18" i="2"/>
  <c r="J640" i="1"/>
  <c r="J641" i="1"/>
  <c r="I446" i="1"/>
  <c r="G642" i="1" s="1"/>
  <c r="G625" i="1"/>
  <c r="J625" i="1" s="1"/>
  <c r="L382" i="1"/>
  <c r="G636" i="1" s="1"/>
  <c r="J636" i="1" s="1"/>
  <c r="F112" i="1"/>
  <c r="C35" i="10"/>
  <c r="G164" i="2"/>
  <c r="K500" i="1"/>
  <c r="G156" i="2"/>
  <c r="K503" i="1"/>
  <c r="C8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D103" i="2"/>
  <c r="D104" i="2" s="1"/>
  <c r="I140" i="1"/>
  <c r="A22" i="12"/>
  <c r="J652" i="1"/>
  <c r="G571" i="1"/>
  <c r="I434" i="1"/>
  <c r="G434" i="1"/>
  <c r="I663" i="1"/>
  <c r="H660" i="1" l="1"/>
  <c r="I461" i="1"/>
  <c r="H642" i="1" s="1"/>
  <c r="F104" i="2"/>
  <c r="C36" i="10"/>
  <c r="J642" i="1"/>
  <c r="G51" i="2"/>
  <c r="E128" i="2"/>
  <c r="I662" i="1"/>
  <c r="E104" i="2"/>
  <c r="L545" i="1"/>
  <c r="K552" i="1"/>
  <c r="J647" i="1"/>
  <c r="C141" i="2"/>
  <c r="C144" i="2" s="1"/>
  <c r="L408" i="1"/>
  <c r="G637" i="1" s="1"/>
  <c r="J637" i="1" s="1"/>
  <c r="E51" i="2"/>
  <c r="E115" i="2"/>
  <c r="E145" i="2" s="1"/>
  <c r="G660" i="1"/>
  <c r="G664" i="1" s="1"/>
  <c r="D31" i="13"/>
  <c r="C31" i="13" s="1"/>
  <c r="L338" i="1"/>
  <c r="L352" i="1" s="1"/>
  <c r="G633" i="1" s="1"/>
  <c r="J633" i="1" s="1"/>
  <c r="C25" i="13"/>
  <c r="H33" i="13"/>
  <c r="E33" i="13"/>
  <c r="D35" i="13" s="1"/>
  <c r="H648" i="1"/>
  <c r="J648" i="1" s="1"/>
  <c r="L257" i="1"/>
  <c r="L271" i="1" s="1"/>
  <c r="G632" i="1" s="1"/>
  <c r="J632" i="1" s="1"/>
  <c r="C115" i="2"/>
  <c r="C128" i="2"/>
  <c r="F660" i="1"/>
  <c r="F664" i="1" s="1"/>
  <c r="F193" i="1"/>
  <c r="G627" i="1" s="1"/>
  <c r="J627" i="1" s="1"/>
  <c r="H664" i="1"/>
  <c r="H667" i="1" s="1"/>
  <c r="C27" i="10"/>
  <c r="C28" i="10" s="1"/>
  <c r="D23" i="10" s="1"/>
  <c r="I661" i="1"/>
  <c r="G104" i="2"/>
  <c r="I193" i="1"/>
  <c r="G630" i="1" s="1"/>
  <c r="J630" i="1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H646" i="1" l="1"/>
  <c r="J646" i="1" s="1"/>
  <c r="D33" i="13"/>
  <c r="D36" i="13" s="1"/>
  <c r="H672" i="1"/>
  <c r="C6" i="10" s="1"/>
  <c r="C145" i="2"/>
  <c r="I660" i="1"/>
  <c r="I664" i="1" s="1"/>
  <c r="I672" i="1" s="1"/>
  <c r="C7" i="10" s="1"/>
  <c r="D20" i="10"/>
  <c r="D13" i="10"/>
  <c r="D12" i="10"/>
  <c r="D27" i="10"/>
  <c r="D17" i="10"/>
  <c r="D24" i="10"/>
  <c r="D25" i="10"/>
  <c r="D21" i="10"/>
  <c r="D18" i="10"/>
  <c r="D26" i="10"/>
  <c r="D16" i="10"/>
  <c r="D15" i="10"/>
  <c r="D19" i="10"/>
  <c r="D11" i="10"/>
  <c r="D22" i="10"/>
  <c r="D10" i="10"/>
  <c r="C30" i="10"/>
  <c r="G667" i="1"/>
  <c r="G672" i="1"/>
  <c r="C5" i="10" s="1"/>
  <c r="F672" i="1"/>
  <c r="C4" i="10" s="1"/>
  <c r="F667" i="1"/>
  <c r="C41" i="10"/>
  <c r="D38" i="10" s="1"/>
  <c r="H656" i="1" l="1"/>
  <c r="I667" i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<sst xmlns="http://schemas.openxmlformats.org/spreadsheetml/2006/main" count="3994" uniqueCount="928">
  <si>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</si>
  <si>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</si>
  <si>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</si>
  <si>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</si>
  <si>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</si>
  <si>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</si>
  <si>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</si>
  <si>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</si>
  <si>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</si>
  <si>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</si>
  <si>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</si>
  <si>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</si>
  <si>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</si>
  <si>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</si>
  <si>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</si>
  <si>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</si>
  <si>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</si>
  <si>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</si>
  <si>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</si>
  <si>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</si>
  <si>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</si>
  <si>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</si>
  <si>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</si>
  <si>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</si>
  <si>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</si>
  <si>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</si>
  <si>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</si>
  <si>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</si>
  <si>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</si>
  <si>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</si>
  <si>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</si>
  <si>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</si>
  <si>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</si>
  <si>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</si>
  <si>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</si>
  <si>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</si>
  <si>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</si>
  <si>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</si>
  <si>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</si>
  <si>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</si>
  <si>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</si>
  <si>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</si>
  <si>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</si>
  <si>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</si>
  <si>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</si>
  <si>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</si>
  <si>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</si>
  <si>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</si>
  <si>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</si>
  <si>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</si>
  <si>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</si>
  <si>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</si>
  <si>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</si>
  <si>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</si>
  <si>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</si>
  <si>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</si>
  <si>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</si>
  <si>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</si>
  <si>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</si>
  <si>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</si>
  <si>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</si>
  <si>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</si>
  <si>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</si>
  <si>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</si>
  <si>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</si>
  <si>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</si>
  <si>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</si>
  <si>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</si>
  <si>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</si>
  <si>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</si>
  <si>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</si>
  <si>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</si>
  <si>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</si>
  <si>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</si>
  <si>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</si>
  <si>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</si>
  <si>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</si>
  <si>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</si>
  <si>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</si>
  <si>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</si>
  <si>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</si>
  <si>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</si>
  <si>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</si>
  <si>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</si>
  <si>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</si>
  <si>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</si>
  <si>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</si>
  <si>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</si>
  <si>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</si>
  <si>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</si>
  <si>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</si>
  <si>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</si>
  <si>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</si>
  <si>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</si>
  <si>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</si>
  <si>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</si>
  <si>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</si>
  <si>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</si>
  <si>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</si>
  <si>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</si>
  <si>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</si>
  <si>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</si>
  <si>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</si>
  <si>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</si>
  <si>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</si>
  <si>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</si>
  <si>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</si>
  <si>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</si>
  <si>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</si>
  <si>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</si>
  <si>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</si>
  <si>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</si>
  <si>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</si>
  <si>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</si>
  <si>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</si>
  <si>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</si>
  <si>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</si>
  <si>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</si>
  <si>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</si>
  <si>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</si>
  <si>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</si>
  <si>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</si>
  <si>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</si>
  <si>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</si>
  <si>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</si>
  <si>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</si>
  <si>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</si>
  <si>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</si>
  <si>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</si>
  <si>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</si>
  <si>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</si>
  <si>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</si>
  <si>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</si>
  <si>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</si>
  <si>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</si>
  <si>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</si>
  <si>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</si>
  <si>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</si>
  <si>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</si>
  <si>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</si>
  <si>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</si>
  <si>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</si>
  <si>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</si>
  <si>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</si>
  <si>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</si>
  <si>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</si>
  <si>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</si>
  <si>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</si>
  <si>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</si>
  <si>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</si>
  <si>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</si>
  <si>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</si>
  <si>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</si>
  <si>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</si>
  <si>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</si>
  <si>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</si>
  <si>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</si>
  <si>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</si>
  <si>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</si>
  <si>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</si>
  <si>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</si>
  <si>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</si>
  <si>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</si>
  <si>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</si>
  <si>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</si>
  <si>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</si>
  <si>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</si>
  <si>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</si>
  <si>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</si>
  <si>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</si>
  <si>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</si>
  <si>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</si>
  <si>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</si>
  <si>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</si>
  <si>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</si>
  <si>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</si>
  <si>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</si>
  <si>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</si>
  <si>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</si>
  <si>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</si>
  <si>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</si>
  <si>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</si>
  <si>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</si>
  <si>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</si>
  <si>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</si>
  <si>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</si>
  <si>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</si>
  <si>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</si>
  <si>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</si>
  <si>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</si>
  <si>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</si>
  <si>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</si>
  <si>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</si>
  <si>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</si>
  <si>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</si>
  <si>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</si>
  <si>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</si>
  <si>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</si>
  <si>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</si>
  <si>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</si>
  <si>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</si>
  <si>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</si>
  <si>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</si>
  <si>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</si>
  <si>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</si>
  <si>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</si>
  <si>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</si>
  <si>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</si>
  <si>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</si>
  <si>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</si>
  <si>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</si>
  <si>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</si>
  <si>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</si>
  <si>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</si>
  <si>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</si>
  <si>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</si>
  <si>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</si>
  <si>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</si>
  <si>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</si>
  <si>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</si>
  <si>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</si>
  <si>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</si>
  <si>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</si>
  <si>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</si>
  <si>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</si>
  <si>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</si>
  <si>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</si>
  <si>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</si>
  <si>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</si>
  <si>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</si>
  <si>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</si>
  <si>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</si>
  <si>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</si>
  <si>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</si>
  <si>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</si>
  <si>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</si>
  <si>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</si>
  <si>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</si>
  <si>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</si>
  <si>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</si>
  <si>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</si>
  <si>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</si>
  <si>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</si>
  <si>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</si>
  <si>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</si>
  <si>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</si>
  <si>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</si>
  <si>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</si>
  <si>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</si>
  <si>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</si>
  <si>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</si>
  <si>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</si>
  <si>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</si>
  <si>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</si>
  <si>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</si>
  <si>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</si>
  <si>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</si>
  <si>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</si>
  <si>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</si>
  <si>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</si>
  <si>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</si>
  <si>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</si>
  <si>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</si>
  <si>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</si>
  <si>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</si>
  <si>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</si>
  <si>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</si>
  <si>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</si>
  <si>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</si>
  <si>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</si>
  <si>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</si>
  <si>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</si>
  <si>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</si>
  <si>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</si>
  <si>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</si>
  <si>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</si>
  <si>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</si>
  <si>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</si>
  <si>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</si>
  <si>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</si>
  <si>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</si>
  <si>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</si>
  <si>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</si>
  <si>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</si>
  <si>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</si>
  <si>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</si>
  <si>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</si>
  <si>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</si>
  <si>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</si>
  <si>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</si>
  <si>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</si>
  <si>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</si>
  <si>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</si>
  <si>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</si>
  <si>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</si>
  <si>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</si>
  <si>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</si>
  <si>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</si>
  <si>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</si>
  <si>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</si>
  <si>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</si>
  <si>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</si>
  <si>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</si>
  <si>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</si>
  <si>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</si>
  <si>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</si>
  <si>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</si>
  <si>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</si>
  <si>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</si>
  <si>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</si>
  <si>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</si>
  <si>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</si>
  <si>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</si>
  <si>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</si>
  <si>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</si>
  <si>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</si>
  <si>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</si>
  <si>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</si>
  <si>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</si>
  <si>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</si>
  <si>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</si>
  <si>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</si>
  <si>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</si>
  <si>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</si>
  <si>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</si>
  <si>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</si>
  <si>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</si>
  <si>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</si>
  <si>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</si>
  <si>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</si>
  <si>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</si>
  <si>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</si>
  <si>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</si>
  <si>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</si>
  <si>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</si>
  <si>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</si>
  <si>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</si>
  <si>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</si>
  <si>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</si>
  <si>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</si>
  <si>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</si>
  <si>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</si>
  <si>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</si>
  <si>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</si>
  <si>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</si>
  <si>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</si>
  <si>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</si>
  <si>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</si>
  <si>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</si>
  <si>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</si>
  <si>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</si>
  <si>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</si>
  <si>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</si>
  <si>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</si>
  <si>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</si>
  <si>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</si>
  <si>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</si>
  <si>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</si>
  <si>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</si>
  <si>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</si>
  <si>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</si>
  <si>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</si>
  <si>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</si>
  <si>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</si>
  <si>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</si>
  <si>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</si>
  <si>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</si>
  <si>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</si>
  <si>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</si>
  <si>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</si>
  <si>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</si>
  <si>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</si>
  <si>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</si>
  <si>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</si>
  <si>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</si>
  <si>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</si>
  <si>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</si>
  <si>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</si>
  <si>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</si>
  <si>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</si>
  <si>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</si>
  <si>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</si>
  <si>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</si>
  <si>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</si>
  <si>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</si>
  <si>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</si>
  <si>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</si>
  <si>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</si>
  <si>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</si>
  <si>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</si>
  <si>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</si>
  <si>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</si>
  <si>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</si>
  <si>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</si>
  <si>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</si>
  <si>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</si>
  <si>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</si>
  <si>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</si>
  <si>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</si>
  <si>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</si>
  <si>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</si>
  <si>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</si>
  <si>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</si>
  <si>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</si>
  <si>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</si>
  <si>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</si>
  <si>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</si>
  <si>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</si>
  <si>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</si>
  <si>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</si>
  <si>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</si>
  <si>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</si>
  <si>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</si>
  <si>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</si>
  <si>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</si>
  <si>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</si>
  <si>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</si>
  <si>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</si>
  <si>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</si>
  <si>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</si>
  <si>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</si>
  <si>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</si>
  <si>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</si>
  <si>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</si>
  <si>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</si>
  <si>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</si>
  <si>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</si>
  <si>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</si>
  <si>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</si>
  <si>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</si>
  <si>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</si>
  <si>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</si>
  <si>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</si>
  <si>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</si>
  <si>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</si>
  <si>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</si>
  <si>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</si>
  <si>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</si>
  <si>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</si>
  <si>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</si>
  <si>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</si>
  <si>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</si>
  <si>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</si>
  <si>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</si>
  <si>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</si>
  <si>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</si>
  <si>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</si>
  <si>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</si>
  <si>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</si>
  <si>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</si>
  <si>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</si>
  <si>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</si>
  <si>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</si>
  <si>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</si>
  <si>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</si>
  <si>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</si>
  <si>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</si>
  <si>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</si>
  <si>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</si>
  <si>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</si>
  <si>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</si>
  <si>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</si>
  <si>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</si>
  <si>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</si>
  <si>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</si>
  <si>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</si>
  <si>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</si>
  <si>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</si>
  <si>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</si>
  <si>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</si>
  <si>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</si>
  <si>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</si>
  <si>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</si>
  <si>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</si>
  <si>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</si>
  <si>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</si>
  <si>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</si>
  <si>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</si>
  <si>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</si>
  <si>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</si>
  <si>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</si>
  <si>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</si>
  <si>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</si>
  <si>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</si>
  <si>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</si>
  <si>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</si>
  <si>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</si>
  <si>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</si>
  <si>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</si>
  <si>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</si>
  <si>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</si>
  <si>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</si>
  <si>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</si>
  <si>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</si>
  <si>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</si>
  <si>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</si>
  <si>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</si>
  <si>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</si>
  <si>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</si>
  <si>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</si>
  <si>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</si>
  <si>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</si>
  <si>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</si>
  <si>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</si>
  <si>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</si>
  <si>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</si>
  <si>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</si>
  <si>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</si>
  <si>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</si>
  <si>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</si>
  <si>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</si>
  <si>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</si>
  <si>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</si>
  <si>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</si>
  <si>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</si>
  <si>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</si>
  <si>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</si>
  <si>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</si>
  <si>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</si>
  <si>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</si>
  <si>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</si>
  <si>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</si>
  <si>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</si>
  <si>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</si>
  <si>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</si>
  <si>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</si>
  <si>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</si>
  <si>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</si>
  <si>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</si>
  <si>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</si>
  <si>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</si>
  <si>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</si>
  <si>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</si>
  <si>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</si>
  <si>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</si>
  <si>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</si>
  <si>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</si>
  <si>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</si>
  <si>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</si>
  <si>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</si>
  <si>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</si>
  <si>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</si>
  <si>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</si>
  <si>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</si>
  <si>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</si>
  <si>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</si>
  <si>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</si>
  <si>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</si>
  <si>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</si>
  <si>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</si>
  <si>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</si>
  <si>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</si>
  <si>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</si>
  <si>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</si>
  <si>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</si>
  <si>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</si>
  <si>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</si>
  <si>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</si>
  <si>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</si>
  <si>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</si>
  <si>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</si>
  <si>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</si>
  <si>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</si>
  <si>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</si>
  <si>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</si>
  <si>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</si>
  <si>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</si>
  <si>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</si>
  <si>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</si>
  <si>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</si>
  <si>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</si>
  <si>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</si>
  <si>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</si>
  <si>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</si>
  <si>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</si>
  <si>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</si>
  <si>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</si>
  <si>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</si>
  <si>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</si>
  <si>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</si>
  <si>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</si>
  <si>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</si>
  <si>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</si>
  <si>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</si>
  <si>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</si>
  <si>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</si>
  <si>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</si>
  <si>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</si>
  <si>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</si>
  <si>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</si>
  <si>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</si>
  <si>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</si>
  <si>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</si>
  <si>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</si>
  <si>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</si>
  <si>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</si>
  <si>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</si>
  <si>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</si>
  <si>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</si>
  <si>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</si>
  <si>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</si>
  <si>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</si>
  <si>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</si>
  <si>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</si>
  <si>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</si>
  <si>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</si>
  <si>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</si>
  <si>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</si>
  <si>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</si>
  <si>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</si>
  <si>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</si>
  <si>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</si>
  <si>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</si>
  <si>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</si>
  <si>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</si>
  <si>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</si>
  <si>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</si>
  <si>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</si>
  <si>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</si>
  <si>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</si>
  <si>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</si>
  <si>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</si>
  <si>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</si>
  <si>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</si>
  <si>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</si>
  <si>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</si>
  <si>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</si>
  <si>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</si>
  <si>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</si>
  <si>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</si>
  <si>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</si>
  <si>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</si>
  <si>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</si>
  <si>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</si>
  <si>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</si>
  <si>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</si>
  <si>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</si>
  <si>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</si>
  <si>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</si>
  <si>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</si>
  <si>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</si>
  <si>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</si>
  <si>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</si>
  <si>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</si>
  <si>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</si>
  <si>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</si>
  <si>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</si>
  <si>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</si>
  <si>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</si>
  <si>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</si>
  <si>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</si>
  <si>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</si>
  <si>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</si>
  <si>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</si>
  <si>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</si>
  <si>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</si>
  <si>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</si>
  <si>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</si>
  <si>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</si>
  <si>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</si>
  <si>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</si>
  <si>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</si>
  <si>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</si>
  <si>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</si>
  <si>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</si>
  <si>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</si>
  <si>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</si>
  <si>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</si>
  <si>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</si>
  <si>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</si>
  <si>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</si>
  <si>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</si>
  <si>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</si>
  <si>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</si>
  <si>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</si>
  <si>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</si>
  <si>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</si>
  <si>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</si>
  <si>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</si>
  <si>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</si>
  <si>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</si>
  <si>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</si>
  <si>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</si>
  <si>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</si>
  <si>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</si>
  <si>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</si>
  <si>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</si>
  <si>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</si>
  <si>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</si>
  <si>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</si>
  <si>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</si>
  <si>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</si>
  <si>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</si>
  <si>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</si>
  <si>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</si>
  <si>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</si>
  <si>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</si>
  <si>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</si>
  <si>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</si>
  <si>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</si>
  <si>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</si>
  <si>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</si>
  <si>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</si>
  <si>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</si>
  <si>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</si>
  <si>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</si>
  <si>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</si>
  <si>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</si>
  <si>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</si>
  <si>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</si>
  <si>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</si>
  <si>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</si>
  <si>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</si>
  <si>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</si>
  <si>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</si>
  <si>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</si>
  <si>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</si>
  <si>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</si>
  <si>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</si>
  <si>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</si>
  <si>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</si>
  <si>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</si>
  <si>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</si>
  <si>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</si>
  <si>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</si>
  <si>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</si>
  <si>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</si>
  <si>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</si>
  <si>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</si>
  <si>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</si>
  <si>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</si>
  <si>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</si>
  <si>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</si>
  <si>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</si>
  <si>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</si>
  <si>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</si>
  <si>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</si>
  <si>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</si>
  <si>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</si>
  <si>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</si>
  <si>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</si>
  <si>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</si>
  <si>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</si>
  <si>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</si>
  <si>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</si>
  <si>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</si>
  <si>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</si>
  <si>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</si>
  <si>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</si>
  <si>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</si>
  <si>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</si>
  <si>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</si>
  <si>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</si>
  <si>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</si>
  <si>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</si>
  <si>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</si>
  <si>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</si>
  <si>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</si>
  <si>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</si>
  <si>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</si>
  <si>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</si>
  <si>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</si>
  <si>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</si>
  <si>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</si>
  <si>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</si>
  <si>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</si>
  <si>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</si>
  <si>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</si>
  <si>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</si>
  <si>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</si>
  <si>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</si>
  <si>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</si>
  <si>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</si>
  <si>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</si>
  <si>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</si>
  <si>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</si>
  <si>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</si>
  <si>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</si>
  <si>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</si>
  <si>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</si>
  <si>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</si>
  <si>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</si>
  <si>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</si>
  <si>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</si>
  <si>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</si>
  <si>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</si>
  <si>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</si>
  <si>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</si>
  <si>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</si>
  <si>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</si>
  <si>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</si>
  <si>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</si>
  <si>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</si>
  <si>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</si>
  <si>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</si>
  <si>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</si>
  <si>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</si>
  <si>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</si>
  <si>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</si>
  <si>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</si>
  <si>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</si>
  <si>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</si>
  <si>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</si>
  <si>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</si>
  <si>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</si>
  <si>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</si>
  <si>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</si>
  <si>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</si>
  <si>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</si>
  <si>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</si>
  <si>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</si>
  <si>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</si>
  <si>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</si>
  <si>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</si>
  <si>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</si>
  <si>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</si>
  <si>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</si>
  <si>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</si>
  <si>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</si>
  <si>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</si>
  <si>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</si>
  <si>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</si>
  <si>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</si>
  <si>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</si>
  <si>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</si>
  <si>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</si>
  <si>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</si>
  <si>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</si>
  <si>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</si>
  <si>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</si>
  <si>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</si>
  <si>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</si>
  <si>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</si>
  <si>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</si>
  <si>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</si>
  <si>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</si>
  <si>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</si>
  <si>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</si>
  <si>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</si>
  <si>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</si>
  <si>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</si>
  <si>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</si>
  <si>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</si>
  <si>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</si>
  <si>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</si>
  <si>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</si>
  <si>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</si>
  <si>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</si>
  <si>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</si>
  <si>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</si>
  <si>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</si>
  <si>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</si>
  <si>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</si>
  <si>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</si>
  <si>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</si>
  <si>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</si>
  <si>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</si>
  <si>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</si>
  <si>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</si>
  <si>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</si>
  <si>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</si>
  <si>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</si>
  <si>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</si>
  <si>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</si>
  <si>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</si>
  <si>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</si>
  <si>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</si>
  <si>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</si>
  <si>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</si>
  <si>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</si>
  <si>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</si>
  <si>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</si>
  <si>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</si>
  <si>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</si>
  <si>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</si>
  <si>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</si>
  <si>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</si>
  <si>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</si>
  <si>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</si>
  <si>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</si>
  <si>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</si>
  <si>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</si>
  <si>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</si>
  <si>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</si>
  <si>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</si>
  <si>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</si>
  <si>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</si>
  <si>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</si>
  <si>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</si>
  <si>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</si>
  <si>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</si>
  <si>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</si>
  <si>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</si>
  <si>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</si>
  <si>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</si>
  <si>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</si>
  <si>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</si>
  <si>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</si>
  <si>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</si>
  <si>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</si>
  <si>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</si>
  <si>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</si>
  <si>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</si>
  <si>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</si>
  <si>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</si>
  <si>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</si>
  <si>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</si>
  <si>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</si>
  <si>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</si>
  <si>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</si>
  <si>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</si>
  <si>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RAYMOND SCHOOL DISTYRICT</t>
  </si>
  <si>
    <t>8/05</t>
  </si>
  <si>
    <t>8/25</t>
  </si>
  <si>
    <t>8/14</t>
  </si>
  <si>
    <t>8/24</t>
  </si>
  <si>
    <t>Scholarship Funds</t>
  </si>
  <si>
    <t xml:space="preserve">                HealthTrust and SchoolCare</t>
  </si>
  <si>
    <t xml:space="preserve">Other General Fund Revenues from Local Sources of $303,092.90 are Net Surplus refunds received from </t>
  </si>
  <si>
    <t>Transfers from Special Revenue Fund of $30,231.16 are Indirect Costs charged to Grants</t>
  </si>
  <si>
    <t>Fund Transfers to General Fund of $30,231.16 are Indirect Costs charged to Grants</t>
  </si>
  <si>
    <t>Other Food Service Revenues from Local Sources of $18,815.29 are Catering Sales</t>
  </si>
  <si>
    <t>Other Special Revenues from Local Sources of $4,724.70 are Private Grants</t>
  </si>
  <si>
    <t>Other Restricted State Aid of $6,474.01 is Differentiated Charter School Aid</t>
  </si>
  <si>
    <t xml:space="preserve">              Food Service Equipment purchases of $2,503.63</t>
  </si>
  <si>
    <t xml:space="preserve">Other Expendable Funds Property of $38,612.79 is composed of Texbook Fund purchases of $36,109.16 and </t>
  </si>
  <si>
    <t>Intra-District Transportation Costs of $14,074.56 is for After-School Program</t>
  </si>
  <si>
    <t>Other Transportation Costs of $15,545.18 is for Homeless Transportation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</si>
</sst>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3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453</v>
      </c>
      <c r="C2" s="21">
        <v>453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1239707.67+100</f>
        <v>1239807.67</v>
      </c>
      <c r="G9" s="18">
        <v>100</v>
      </c>
      <c r="H9" s="18"/>
      <c r="I9" s="18">
        <v>40580.58</v>
      </c>
      <c r="J9" s="67">
        <f>SUM(I439)</f>
        <v>648151.57999999996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9359.82</v>
      </c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45508.99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16136.84</v>
      </c>
      <c r="H13" s="18">
        <v>105896.78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8366.83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1303043.31</v>
      </c>
      <c r="G19" s="41">
        <f>SUM(G9:G18)</f>
        <v>16236.84</v>
      </c>
      <c r="H19" s="41">
        <f>SUM(H9:H18)</f>
        <v>105896.78</v>
      </c>
      <c r="I19" s="41">
        <f>SUM(I9:I18)</f>
        <v>40580.58</v>
      </c>
      <c r="J19" s="41">
        <f>SUM(J9:J18)</f>
        <v>648151.57999999996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6988.78</v>
      </c>
      <c r="H22" s="18">
        <v>38520.21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301018.24+278996.79</f>
        <v>580015.03</v>
      </c>
      <c r="G24" s="18"/>
      <c r="H24" s="18" t="s">
        <v>287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f>104472.74+2809.01</f>
        <v>107281.75</v>
      </c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f>886.15+4111.97+122554.24</f>
        <v>127552.36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8733.33</v>
      </c>
      <c r="H30" s="18">
        <v>67376.570000000007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814849.14</v>
      </c>
      <c r="G32" s="41">
        <f>SUM(G22:G31)</f>
        <v>15722.11</v>
      </c>
      <c r="H32" s="41">
        <f>SUM(H22:H31)</f>
        <v>105896.78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>
        <v>514.73</v>
      </c>
      <c r="H43" s="18"/>
      <c r="I43" s="18">
        <v>40580.58</v>
      </c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f>50000+25000</f>
        <v>75000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648151.57999999996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39614.75</v>
      </c>
      <c r="G49" s="18"/>
      <c r="H49" s="18" t="s">
        <v>287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398579.61-0.19-25000</f>
        <v>373579.42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488194.17</v>
      </c>
      <c r="G51" s="41">
        <f>SUM(G35:G50)</f>
        <v>514.73</v>
      </c>
      <c r="H51" s="41">
        <f>SUM(H35:H50)</f>
        <v>0</v>
      </c>
      <c r="I51" s="41">
        <f>SUM(I35:I50)</f>
        <v>40580.58</v>
      </c>
      <c r="J51" s="41">
        <f>SUM(J35:J50)</f>
        <v>648151.57999999996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1303043.31</v>
      </c>
      <c r="G52" s="41">
        <f>G51+G32</f>
        <v>16236.84</v>
      </c>
      <c r="H52" s="41">
        <f>H51+H32</f>
        <v>105896.78</v>
      </c>
      <c r="I52" s="41">
        <f>I51+I32</f>
        <v>40580.58</v>
      </c>
      <c r="J52" s="41">
        <f>J51+J32</f>
        <v>648151.57999999996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12127318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12127318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37920.879999999997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3000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9500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11530.8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 t="s">
        <v>287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61951.679999999993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 t="s">
        <v>287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157.11000000000001</v>
      </c>
      <c r="G96" s="18"/>
      <c r="H96" s="18"/>
      <c r="I96" s="18"/>
      <c r="J96" s="18">
        <v>2302.09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161373.4+9859.95+106406.59</f>
        <v>277639.94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24038+1359.25</f>
        <v>25397.25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1528.62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f>500+227.52</f>
        <v>727.52</v>
      </c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630.75</v>
      </c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303092.9</f>
        <v>303092.90000000002</v>
      </c>
      <c r="G110" s="18">
        <v>18815.29</v>
      </c>
      <c r="H110" s="18">
        <v>4724.7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331534.15000000002</v>
      </c>
      <c r="G111" s="41">
        <f>SUM(G96:G110)</f>
        <v>296455.23</v>
      </c>
      <c r="H111" s="41">
        <f>SUM(H96:H110)</f>
        <v>4724.7</v>
      </c>
      <c r="I111" s="41">
        <f>SUM(I96:I110)</f>
        <v>0</v>
      </c>
      <c r="J111" s="41">
        <f>SUM(J96:J110)</f>
        <v>2302.09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12520803.83</v>
      </c>
      <c r="G112" s="41">
        <f>G60+G111</f>
        <v>296455.23</v>
      </c>
      <c r="H112" s="41">
        <f>H60+H79+H94+H111</f>
        <v>4724.7</v>
      </c>
      <c r="I112" s="41">
        <f>I60+I111</f>
        <v>0</v>
      </c>
      <c r="J112" s="41">
        <f>J60+J111</f>
        <v>2302.09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5675023.2599999998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1926272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7601295.2599999998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412434.67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363863.61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27465.200000000001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6226.66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6474.01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810237.49</v>
      </c>
      <c r="G136" s="41">
        <f>SUM(G123:G135)</f>
        <v>6226.66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8411532.75</v>
      </c>
      <c r="G140" s="41">
        <f>G121+SUM(G136:G137)</f>
        <v>6226.66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273225.74</f>
        <v>273225.74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944836.52-H154-H159</f>
        <v>352865.16000000003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218046.25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f>310991.8+7753.82</f>
        <v>318745.62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259520.63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259520.63</v>
      </c>
      <c r="G162" s="41">
        <f>SUM(G150:G161)</f>
        <v>218046.25</v>
      </c>
      <c r="H162" s="41">
        <f>SUM(H150:H161)</f>
        <v>944836.52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259520.63</v>
      </c>
      <c r="G169" s="41">
        <f>G147+G162+SUM(G163:G168)</f>
        <v>218046.25</v>
      </c>
      <c r="H169" s="41">
        <f>H147+H162+SUM(H163:H168)</f>
        <v>944836.52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>
        <v>1060000</v>
      </c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>
        <v>160711.92000000001</v>
      </c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>
        <v>149.44</v>
      </c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1220861.3599999999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214000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30231.16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30231.16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214000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30231.16</v>
      </c>
      <c r="G192" s="41">
        <f>G183+SUM(G188:G191)</f>
        <v>0</v>
      </c>
      <c r="H192" s="41">
        <f>+H183+SUM(H188:H191)</f>
        <v>0</v>
      </c>
      <c r="I192" s="41">
        <f>I177+I183+SUM(I188:I191)</f>
        <v>1220861.3599999999</v>
      </c>
      <c r="J192" s="41">
        <f>J183</f>
        <v>214000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21222088.369999997</v>
      </c>
      <c r="G193" s="47">
        <f>G112+G140+G169+G192</f>
        <v>520728.13999999996</v>
      </c>
      <c r="H193" s="47">
        <f>H112+H140+H169+H192</f>
        <v>949561.22</v>
      </c>
      <c r="I193" s="47">
        <f>I112+I140+I169+I192</f>
        <v>1220861.3599999999</v>
      </c>
      <c r="J193" s="47">
        <f>J112+J140+J192</f>
        <v>216302.09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42914+56599.25+70574.4+55706+1276153.95+57787+21036.6+64619.88+2860+54201.3</f>
        <v>1702452.38</v>
      </c>
      <c r="G197" s="18">
        <f>21807.5+19450.32+10716.14+320697.33+16155.1+802.36+802.34+750.88+1356.94+22076.74+802.36+48.1+47.96+64+48.1+1316.76+48.1+2920.58+4300+5230.17+4203.42+99082.74+4147+6076.71+8014.53+9993.22+7887.88+181324.86+8182.71+90111.54</f>
        <v>848466.3899999999</v>
      </c>
      <c r="H197" s="18">
        <f>5000+46.2+15639.12</f>
        <v>20685.32</v>
      </c>
      <c r="I197" s="18">
        <f>1468.73+9044.38+249.88+9915.44+489.98+982.55+800+33397.38+1796.23+2068.42+214.34+1200</f>
        <v>61627.329999999994</v>
      </c>
      <c r="J197" s="18">
        <f>200+3000+3739.9</f>
        <v>6939.9</v>
      </c>
      <c r="K197" s="18"/>
      <c r="L197" s="19">
        <f>SUM(F197:K197)</f>
        <v>2640171.3199999994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57657+53812.98+263053+57657.03+269209.61+16116.01+62752.05</f>
        <v>780257.68</v>
      </c>
      <c r="G198" s="18">
        <f>229897.43+17828.41+17598.92+83164.07+21807.63+802.36+1935.44+4829.55+1356.98+354.1+67.24+135.94+238.51+48.11+145.34+18341.17+5463.2+3738.92+18675.89+4034.42+23.27+8164.25+7619.82+37258.78+8164.25+24736.59</f>
        <v>516430.59</v>
      </c>
      <c r="H198" s="18">
        <f>194472.05+133017.32</f>
        <v>327489.37</v>
      </c>
      <c r="I198" s="18">
        <f>1500+996.26+1355.9</f>
        <v>3852.1600000000003</v>
      </c>
      <c r="J198" s="18">
        <f>1572+4152.05+787.62</f>
        <v>6511.67</v>
      </c>
      <c r="K198" s="18">
        <f>13276.8</f>
        <v>13276.8</v>
      </c>
      <c r="L198" s="19">
        <f>SUM(F198:K198)</f>
        <v>1647818.27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5340.14+2033.9</f>
        <v>7374.0400000000009</v>
      </c>
      <c r="G200" s="18">
        <f>408.55+391.1+423.84</f>
        <v>1223.49</v>
      </c>
      <c r="H200" s="18">
        <f>9804.59</f>
        <v>9804.59</v>
      </c>
      <c r="I200" s="18">
        <f>8648.69</f>
        <v>8648.69</v>
      </c>
      <c r="J200" s="18">
        <f>1072.53</f>
        <v>1072.53</v>
      </c>
      <c r="K200" s="18"/>
      <c r="L200" s="19">
        <f>SUM(F200:K200)</f>
        <v>28123.340000000004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93480+57657+36097.1+16527.07+15293.89+28381.18</f>
        <v>247436.24</v>
      </c>
      <c r="G202" s="18">
        <f>16155.1+35524.11+39635.91+802.36+1794+1356.94+96.06+124.7+67.24+6868.19+3674.01+4976.56+13236.57+5111.34+8164.25+90+13704.19</f>
        <v>151381.53</v>
      </c>
      <c r="H202" s="18">
        <f>247.96+1500</f>
        <v>1747.96</v>
      </c>
      <c r="I202" s="18">
        <f>207.84+1491.27+997.95+39.25+1458.37</f>
        <v>4194.68</v>
      </c>
      <c r="J202" s="18"/>
      <c r="K202" s="18"/>
      <c r="L202" s="19">
        <f t="shared" ref="L202:L208" si="0">SUM(F202:K202)</f>
        <v>404760.41000000003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45322+48725.18</f>
        <v>94047.18</v>
      </c>
      <c r="G203" s="18">
        <f>16155.04+802.34+47.96+3184.06+6417.62+25870.88</f>
        <v>52477.9</v>
      </c>
      <c r="H203" s="18">
        <f>6225+105.75+8675.75</f>
        <v>15006.5</v>
      </c>
      <c r="I203" s="18">
        <f>599.94+400+802.24+936.58+3998.92+976.31+2449.67+5317.01+9025.82</f>
        <v>24506.489999999998</v>
      </c>
      <c r="J203" s="18">
        <f>1711.33+11094.49+4352.73</f>
        <v>17158.55</v>
      </c>
      <c r="K203" s="18"/>
      <c r="L203" s="19">
        <f t="shared" si="0"/>
        <v>203196.61999999997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149338.44</f>
        <v>149338.44</v>
      </c>
      <c r="G204" s="18">
        <f>63860.01</f>
        <v>63860.01</v>
      </c>
      <c r="H204" s="18">
        <f>36859.24</f>
        <v>36859.24</v>
      </c>
      <c r="I204" s="18">
        <f>6169.2</f>
        <v>6169.2</v>
      </c>
      <c r="J204" s="18"/>
      <c r="K204" s="18">
        <f>4244.61</f>
        <v>4244.6099999999997</v>
      </c>
      <c r="L204" s="19">
        <f t="shared" si="0"/>
        <v>260471.5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6000+69423.27+149459.27</f>
        <v>224882.53999999998</v>
      </c>
      <c r="G205" s="18">
        <f>73964.29+2819.96+345.6+365.73+16034.58+459+7485.17+21163.5+849.6</f>
        <v>123487.43000000001</v>
      </c>
      <c r="H205" s="18">
        <f>1915.07+2000+14005.13+5839.2+1500+693</f>
        <v>25952.399999999998</v>
      </c>
      <c r="I205" s="18">
        <f>1040.27</f>
        <v>1040.27</v>
      </c>
      <c r="J205" s="18"/>
      <c r="K205" s="18">
        <f>1500</f>
        <v>1500</v>
      </c>
      <c r="L205" s="19">
        <f t="shared" si="0"/>
        <v>376862.64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55293.82</f>
        <v>55293.82</v>
      </c>
      <c r="G206" s="18">
        <f>28953.17</f>
        <v>28953.17</v>
      </c>
      <c r="H206" s="18">
        <f>1347</f>
        <v>1347</v>
      </c>
      <c r="I206" s="18"/>
      <c r="J206" s="18"/>
      <c r="K206" s="18">
        <f>569.91</f>
        <v>569.91</v>
      </c>
      <c r="L206" s="19">
        <f t="shared" si="0"/>
        <v>86163.9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123965.34+82866.58</f>
        <v>206831.91999999998</v>
      </c>
      <c r="G207" s="18">
        <f>44493.37+1585.34+76.49+9088.06+12457.42+27742.91</f>
        <v>95443.59</v>
      </c>
      <c r="H207" s="18">
        <f>7173.9+2056.4+20044.47+4309.25+43557.37+1554.22+36000+31282.45</f>
        <v>145978.06000000003</v>
      </c>
      <c r="I207" s="18">
        <f>17756.86+831.39+16153.39+53860.33+42464.33+3617.58</f>
        <v>134683.88</v>
      </c>
      <c r="J207" s="18">
        <f>9902.56</f>
        <v>9902.56</v>
      </c>
      <c r="K207" s="18"/>
      <c r="L207" s="19">
        <f t="shared" si="0"/>
        <v>592840.01000000013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f>1934+158921.14+38899.36+60450+4239.59+7597.19</f>
        <v>272041.28000000003</v>
      </c>
      <c r="I208" s="18"/>
      <c r="J208" s="18"/>
      <c r="K208" s="18"/>
      <c r="L208" s="19">
        <f t="shared" si="0"/>
        <v>272041.28000000003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f>836.42</f>
        <v>836.42</v>
      </c>
      <c r="I209" s="18"/>
      <c r="J209" s="18"/>
      <c r="K209" s="18"/>
      <c r="L209" s="19">
        <f>SUM(F209:K209)</f>
        <v>836.42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3467914.2399999998</v>
      </c>
      <c r="G211" s="41">
        <f t="shared" si="1"/>
        <v>1881724.0999999999</v>
      </c>
      <c r="H211" s="41">
        <f t="shared" si="1"/>
        <v>857748.14000000013</v>
      </c>
      <c r="I211" s="41">
        <f t="shared" si="1"/>
        <v>244722.69999999998</v>
      </c>
      <c r="J211" s="41">
        <f t="shared" si="1"/>
        <v>41585.21</v>
      </c>
      <c r="K211" s="41">
        <f t="shared" si="1"/>
        <v>19591.32</v>
      </c>
      <c r="L211" s="41">
        <f t="shared" si="1"/>
        <v>6513285.71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1552879.91+44426+15342.25+3212.7+76649.22+580+46212.04</f>
        <v>1739302.1199999999</v>
      </c>
      <c r="G215" s="18">
        <f>502297.88+16155.1+29406.78+802.36+1574.39+48.1+117818.71+3124.94+220679.5+6290.71+76829.11</f>
        <v>975027.57999999984</v>
      </c>
      <c r="H215" s="18">
        <f>3500+65+620+13333.91</f>
        <v>17518.91</v>
      </c>
      <c r="I215" s="18">
        <f>3998.08+1256.12+182.03+473.47+3095.15+2947+1027.78+2649.53+166.28+1038.1+22748.29+41.54+320.65+752.98+279.78</f>
        <v>40976.780000000006</v>
      </c>
      <c r="J215" s="18">
        <f>224.81+1481.26+1215.22+3973.9+407+718.2</f>
        <v>8020.39</v>
      </c>
      <c r="K215" s="18"/>
      <c r="L215" s="19">
        <f>SUM(F215:K215)</f>
        <v>2780845.78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178083.92+66632.02+245285.74+53502.42</f>
        <v>543504.1</v>
      </c>
      <c r="G216" s="18">
        <f>213746.61+81577.6+21234.98+4873.2+2152.8+339.87+192.26+144.04+180.96+16358.26+12197.77+4662.56+25216.71+9435.14+21090.42</f>
        <v>413403.18</v>
      </c>
      <c r="H216" s="18">
        <f>450231.14+113410.58</f>
        <v>563641.72</v>
      </c>
      <c r="I216" s="18">
        <f>1500+1156.03</f>
        <v>2656.0299999999997</v>
      </c>
      <c r="J216" s="18">
        <f>199.99+671.53</f>
        <v>871.52</v>
      </c>
      <c r="K216" s="18">
        <f>11319.8</f>
        <v>11319.8</v>
      </c>
      <c r="L216" s="19">
        <f>SUM(F216:K216)</f>
        <v>1535396.35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27379.94+3200+1734.1</f>
        <v>32314.039999999997</v>
      </c>
      <c r="G218" s="18">
        <f>2094.53+244.8+75.82+2105.01+453.12+361.37</f>
        <v>5334.6500000000005</v>
      </c>
      <c r="H218" s="18">
        <f>5858+8359.39</f>
        <v>14217.39</v>
      </c>
      <c r="I218" s="18">
        <f>702.28+400.75+7373.87</f>
        <v>8476.9</v>
      </c>
      <c r="J218" s="18">
        <f>914.44</f>
        <v>914.44</v>
      </c>
      <c r="K218" s="18"/>
      <c r="L218" s="19">
        <f>SUM(F218:K218)</f>
        <v>61257.42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158924+55183.28+39620.1+17179.93+24197.8</f>
        <v>295105.11</v>
      </c>
      <c r="G220" s="18">
        <f>48465.3+33557.89+21807.5+2407.08+1220.96+1356.96+144.3+134.32+47.96+107.9+11600.97+4017.98+3841.29+22503.32+5610.28+7813.96+164+11684.2</f>
        <v>176486.17</v>
      </c>
      <c r="H220" s="18">
        <f>274.91</f>
        <v>274.91000000000003</v>
      </c>
      <c r="I220" s="18">
        <f>195.63+1473.43+46.05+86.57+1190+1243.41</f>
        <v>4235.09</v>
      </c>
      <c r="J220" s="18"/>
      <c r="K220" s="18"/>
      <c r="L220" s="19">
        <f t="shared" ref="L220:L226" si="2">SUM(F220:K220)</f>
        <v>476101.28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57656+41543.11</f>
        <v>99199.11</v>
      </c>
      <c r="G221" s="18">
        <f>16155.1+802.36+48.1+4127.75+8164+22057.51</f>
        <v>51354.819999999992</v>
      </c>
      <c r="H221" s="18">
        <f>5462.5+1263.62+7396.94</f>
        <v>14123.06</v>
      </c>
      <c r="I221" s="18">
        <f>446.2+313.49+2410.86+4990.21+567.98+1471.67+11318.51+7695.41</f>
        <v>29214.329999999998</v>
      </c>
      <c r="J221" s="18">
        <f>10964.16+12162.2+3711.14</f>
        <v>26837.5</v>
      </c>
      <c r="K221" s="18"/>
      <c r="L221" s="19">
        <f t="shared" si="2"/>
        <v>220728.81999999998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127325.96</f>
        <v>127325.96</v>
      </c>
      <c r="G222" s="18">
        <f>54447.06</f>
        <v>54447.06</v>
      </c>
      <c r="H222" s="18">
        <f>31426.2</f>
        <v>31426.2</v>
      </c>
      <c r="I222" s="18">
        <f>5259.86</f>
        <v>5259.86</v>
      </c>
      <c r="J222" s="18"/>
      <c r="K222" s="18">
        <f>3618.96</f>
        <v>3618.96</v>
      </c>
      <c r="L222" s="19">
        <f t="shared" si="2"/>
        <v>222078.04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4000+83876.8+150482.36</f>
        <v>238359.15999999997</v>
      </c>
      <c r="G223" s="18">
        <f>78306.94+3572.4+345.6+373.79+17198.44+306+9055.88+21340.02+566.4</f>
        <v>131065.47</v>
      </c>
      <c r="H223" s="18">
        <f>784.18+718+14143.27+7283.72+2399+994.5</f>
        <v>26322.670000000002</v>
      </c>
      <c r="I223" s="18">
        <f>1988.71</f>
        <v>1988.71</v>
      </c>
      <c r="J223" s="18"/>
      <c r="K223" s="18">
        <f>1060</f>
        <v>1060</v>
      </c>
      <c r="L223" s="19">
        <f t="shared" si="2"/>
        <v>398796.01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47143.54</f>
        <v>47143.54</v>
      </c>
      <c r="G224" s="18">
        <f>24685.47</f>
        <v>24685.47</v>
      </c>
      <c r="H224" s="18">
        <f>1148.45</f>
        <v>1148.45</v>
      </c>
      <c r="I224" s="18"/>
      <c r="J224" s="18"/>
      <c r="K224" s="18">
        <f>485.9</f>
        <v>485.9</v>
      </c>
      <c r="L224" s="19">
        <f t="shared" si="2"/>
        <v>73463.360000000001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124221.59+70652.06</f>
        <v>194873.65</v>
      </c>
      <c r="G225" s="18">
        <f>59945.4+2500.08+94.68+9002.94+12381.22+23653.6</f>
        <v>107577.92000000001</v>
      </c>
      <c r="H225" s="18">
        <f>5367.5-98.2+25105.83+6314.24+24275.07+1679.59+26671.43</f>
        <v>89315.459999999992</v>
      </c>
      <c r="I225" s="18">
        <f>23360.17+737.26+82434.64+55689.05+5584+3084.36</f>
        <v>170889.47999999998</v>
      </c>
      <c r="J225" s="18">
        <f>8442.92</f>
        <v>8442.92</v>
      </c>
      <c r="K225" s="18"/>
      <c r="L225" s="19">
        <f t="shared" si="2"/>
        <v>571099.43000000005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5584.77+1934+139056+116698.07+17550+7066+6477.37</f>
        <v>294366.20999999996</v>
      </c>
      <c r="I226" s="18"/>
      <c r="J226" s="18"/>
      <c r="K226" s="18"/>
      <c r="L226" s="19">
        <f t="shared" si="2"/>
        <v>294366.20999999996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>
        <f>713.12</f>
        <v>713.12</v>
      </c>
      <c r="I227" s="18"/>
      <c r="J227" s="18"/>
      <c r="K227" s="18"/>
      <c r="L227" s="19">
        <f>SUM(F227:K227)</f>
        <v>713.12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3317126.7899999996</v>
      </c>
      <c r="G229" s="41">
        <f>SUM(G215:G228)</f>
        <v>1939382.3199999996</v>
      </c>
      <c r="H229" s="41">
        <f>SUM(H215:H228)</f>
        <v>1053068.1000000001</v>
      </c>
      <c r="I229" s="41">
        <f>SUM(I215:I228)</f>
        <v>263697.18</v>
      </c>
      <c r="J229" s="41">
        <f>SUM(J215:J228)</f>
        <v>45086.77</v>
      </c>
      <c r="K229" s="41">
        <f t="shared" si="3"/>
        <v>16484.66</v>
      </c>
      <c r="L229" s="41">
        <f t="shared" si="3"/>
        <v>6634845.8200000003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47759+60611+271658+146482.82+89966.5+60285.91+55706+228131.68+54760+235360.62+50883+209660+19440.72+25467.84+481.95+54242.85+4540+48205.24</f>
        <v>1663643.1300000004</v>
      </c>
      <c r="G233" s="18">
        <f>21807.5+26274.04+73542.36+24509.98+8077.68+24049.16+84002.72+26274.04+48081.54+16155.04+59770.2+44835.77+1356.94+1356.94+4248.4+1971.55+932.55+451.66+1356.94+4655.66+1224.66+3277.08+802.34+3277.08+48.1+48.1+288.46+137.27+72.02+33.82+48.1+240.22+48.1+229.32+47.96+192.26+43.84+3253.91+4602.01+19645.69+10760.54+6753.2+4608.95+4198.38+16031.6+4140.82+17594.82+3609.55+15006.82+7213.84+6762.62+8582.61+38466.91+20742.1+12739.22+5039.58+7887.89+32303.48+7754+33327.15+7205.01+29687.97+1220.86+80142.85</f>
        <v>893051.77999999956</v>
      </c>
      <c r="H233" s="18">
        <f>25311.25+515.33+594.29+1369.75+500+13909.02</f>
        <v>42199.64</v>
      </c>
      <c r="I233" s="18">
        <f>4884.24+1581.09+639.7+563.39+522.23+1156.27+2967.02+675.05+2121.38+5520.34+482.72+24827.14+666.17+2352.79+5260.79+4011.44+3628.15+1976.39+1869.51+49+177.86+348.48</f>
        <v>66281.149999999994</v>
      </c>
      <c r="J233" s="18">
        <f>2428+211.18+200+414.46</f>
        <v>3253.64</v>
      </c>
      <c r="K233" s="18">
        <f>580</f>
        <v>580</v>
      </c>
      <c r="L233" s="19">
        <f>SUM(F233:K233)</f>
        <v>2669009.3400000003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71884+53999.92+122091+187980.9+55810.04</f>
        <v>491765.85999999993</v>
      </c>
      <c r="G234" s="18">
        <f>176649.37+31740.38+29885.18+1497.8+667.16+1920.12+239.88+96.2+144.04+144.16+145.86+12331.58+4983.46+4133.04+8834.18+10178.73+7646.34+17287.77+22000.08</f>
        <v>330525.33</v>
      </c>
      <c r="H234" s="18">
        <f>493165.73+118302.14</f>
        <v>611467.87</v>
      </c>
      <c r="I234" s="18">
        <f>1500+1205.9</f>
        <v>2705.9</v>
      </c>
      <c r="J234" s="18">
        <f>160.72+700.49</f>
        <v>861.21</v>
      </c>
      <c r="K234" s="18">
        <f>11808.04</f>
        <v>11808.04</v>
      </c>
      <c r="L234" s="19">
        <f>SUM(F234:K234)</f>
        <v>1449134.21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>
        <f>199718</f>
        <v>199718</v>
      </c>
      <c r="I235" s="18"/>
      <c r="J235" s="18"/>
      <c r="K235" s="18"/>
      <c r="L235" s="19">
        <f>SUM(F235:K235)</f>
        <v>199718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94055.06+7380</f>
        <v>101435.06</v>
      </c>
      <c r="G236" s="18">
        <f>7195.09+564.57+6802.36+1050.13</f>
        <v>15612.150000000001</v>
      </c>
      <c r="H236" s="18">
        <f>19352+10015.82+2381.3</f>
        <v>31749.119999999999</v>
      </c>
      <c r="I236" s="18">
        <f>9624.08</f>
        <v>9624.08</v>
      </c>
      <c r="J236" s="18">
        <f>5227.98</f>
        <v>5227.9799999999996</v>
      </c>
      <c r="K236" s="18">
        <f>6701</f>
        <v>6701</v>
      </c>
      <c r="L236" s="19">
        <f>SUM(F236:K236)</f>
        <v>170349.38999999998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189343+36355.17+36962.9+15175.55+24199.68+25241.48</f>
        <v>327277.77999999997</v>
      </c>
      <c r="G238" s="18">
        <f>53953.44+39063.39+23296.78+1920.1+2152.8+1356.96+163.44+126.78+48+99.84+15499.78+3531.85+2461.79+2609.61+26810.95+5234.06+5147.89+263+12188.15</f>
        <v>195928.61000000004</v>
      </c>
      <c r="H238" s="18">
        <f>41285+248</f>
        <v>41533</v>
      </c>
      <c r="I238" s="18">
        <f>3680.88+1299.31+2295+1297.04</f>
        <v>8572.23</v>
      </c>
      <c r="J238" s="18"/>
      <c r="K238" s="18"/>
      <c r="L238" s="19">
        <f t="shared" ref="L238:L244" si="4">SUM(F238:K238)</f>
        <v>573311.62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41142+13033.02+43334.93</f>
        <v>97509.950000000012</v>
      </c>
      <c r="G239" s="18">
        <f>8077.68+563.16+67.24+3982.01+5825.8+23008.88</f>
        <v>41524.770000000004</v>
      </c>
      <c r="H239" s="18">
        <f>1193.88+7715.98</f>
        <v>8909.86</v>
      </c>
      <c r="I239" s="18">
        <f>891.2+1361.35+705.44+1303.31+5863.77+874.72+1471.66+2627.06+8027.33</f>
        <v>23125.839999999997</v>
      </c>
      <c r="J239" s="18">
        <f>1162.96+11274.49+3871.2</f>
        <v>16308.650000000001</v>
      </c>
      <c r="K239" s="18"/>
      <c r="L239" s="19">
        <f t="shared" si="4"/>
        <v>187379.07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132817.72</f>
        <v>132817.72</v>
      </c>
      <c r="G240" s="18">
        <f>56795.43</f>
        <v>56795.43</v>
      </c>
      <c r="H240" s="18">
        <f>32781.65</f>
        <v>32781.65</v>
      </c>
      <c r="I240" s="18">
        <f>5486.73</f>
        <v>5486.73</v>
      </c>
      <c r="J240" s="18"/>
      <c r="K240" s="18">
        <f>3775.05</f>
        <v>3775.05</v>
      </c>
      <c r="L240" s="19">
        <f t="shared" si="4"/>
        <v>231656.58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17500+72564.72+147357.85</f>
        <v>237422.57</v>
      </c>
      <c r="G241" s="18">
        <f>87334.53+5429.84+201.56+363.13+16142.78+1338.11+7828.26+20920.26+2477.25</f>
        <v>142035.72</v>
      </c>
      <c r="H241" s="18">
        <f>200+1097+15222.25+7117.77+4036.08+4398.67+494.56</f>
        <v>32566.329999999998</v>
      </c>
      <c r="I241" s="18">
        <f>2626.57</f>
        <v>2626.57</v>
      </c>
      <c r="J241" s="18"/>
      <c r="K241" s="18">
        <f>3245+1090</f>
        <v>4335</v>
      </c>
      <c r="L241" s="19">
        <f t="shared" si="4"/>
        <v>418986.19000000006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49176.89</f>
        <v>49176.89</v>
      </c>
      <c r="G242" s="18">
        <f>25750.19</f>
        <v>25750.19</v>
      </c>
      <c r="H242" s="18">
        <f>1197.99</f>
        <v>1197.99</v>
      </c>
      <c r="I242" s="18"/>
      <c r="J242" s="18"/>
      <c r="K242" s="18">
        <f>506.86</f>
        <v>506.86</v>
      </c>
      <c r="L242" s="19">
        <f t="shared" si="4"/>
        <v>76631.930000000008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115950.19+73699.38</f>
        <v>189649.57</v>
      </c>
      <c r="G243" s="18">
        <f>74667.04+3357.5+74.71+8160.83+10329.4+24673.82</f>
        <v>121263.29999999999</v>
      </c>
      <c r="H243" s="18">
        <f>8234.6+1679.86+30198.99+7255.26+26014.64+3293.18+27821.8</f>
        <v>104498.33</v>
      </c>
      <c r="I243" s="18">
        <f>15849.39+876.35+71345.5+33982.95+3217.39</f>
        <v>125271.57999999999</v>
      </c>
      <c r="J243" s="18">
        <f>8807.07</f>
        <v>8807.07</v>
      </c>
      <c r="K243" s="18"/>
      <c r="L243" s="19">
        <f t="shared" si="4"/>
        <v>549489.85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30075.13+5295.55+168276.86+97248.39+23400+4239.59</f>
        <v>328535.52</v>
      </c>
      <c r="I244" s="18"/>
      <c r="J244" s="18"/>
      <c r="K244" s="18"/>
      <c r="L244" s="19">
        <f t="shared" si="4"/>
        <v>328535.52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>
        <f>743.88</f>
        <v>743.88</v>
      </c>
      <c r="I245" s="18"/>
      <c r="J245" s="18"/>
      <c r="K245" s="18"/>
      <c r="L245" s="19">
        <f>SUM(F245:K245)</f>
        <v>743.88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3290698.5300000003</v>
      </c>
      <c r="G247" s="41">
        <f t="shared" si="5"/>
        <v>1822487.2799999996</v>
      </c>
      <c r="H247" s="41">
        <f t="shared" si="5"/>
        <v>1435901.19</v>
      </c>
      <c r="I247" s="41">
        <f t="shared" si="5"/>
        <v>243694.07999999996</v>
      </c>
      <c r="J247" s="41">
        <f t="shared" si="5"/>
        <v>34458.550000000003</v>
      </c>
      <c r="K247" s="41">
        <f t="shared" si="5"/>
        <v>27705.95</v>
      </c>
      <c r="L247" s="41">
        <f t="shared" si="5"/>
        <v>6854945.580000001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 t="s">
        <v>287</v>
      </c>
      <c r="I253" s="18">
        <f>19095.22</f>
        <v>19095.22</v>
      </c>
      <c r="J253" s="18"/>
      <c r="K253" s="18"/>
      <c r="L253" s="19">
        <f t="shared" si="6"/>
        <v>19095.22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19095.22</v>
      </c>
      <c r="J256" s="41">
        <f t="shared" si="7"/>
        <v>0</v>
      </c>
      <c r="K256" s="41">
        <f t="shared" si="7"/>
        <v>0</v>
      </c>
      <c r="L256" s="41">
        <f>SUM(F256:K256)</f>
        <v>19095.22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10075739.559999999</v>
      </c>
      <c r="G257" s="41">
        <f t="shared" si="8"/>
        <v>5643593.6999999993</v>
      </c>
      <c r="H257" s="41">
        <f t="shared" si="8"/>
        <v>3346717.43</v>
      </c>
      <c r="I257" s="41">
        <f t="shared" si="8"/>
        <v>771209.17999999993</v>
      </c>
      <c r="J257" s="41">
        <f t="shared" si="8"/>
        <v>121130.53</v>
      </c>
      <c r="K257" s="41">
        <f t="shared" si="8"/>
        <v>63781.929999999993</v>
      </c>
      <c r="L257" s="41">
        <f t="shared" si="8"/>
        <v>20022172.330000002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675662.46</f>
        <v>675662.46</v>
      </c>
      <c r="L260" s="19">
        <f>SUM(F260:K260)</f>
        <v>675662.46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357310.21</f>
        <v>357310.21</v>
      </c>
      <c r="L261" s="19">
        <f>SUM(F261:K261)</f>
        <v>357310.21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 t="s">
        <v>287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214000</v>
      </c>
      <c r="L266" s="19">
        <f t="shared" si="9"/>
        <v>214000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1246972.67</v>
      </c>
      <c r="L270" s="41">
        <f t="shared" si="9"/>
        <v>1246972.67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10075739.559999999</v>
      </c>
      <c r="G271" s="42">
        <f t="shared" si="11"/>
        <v>5643593.6999999993</v>
      </c>
      <c r="H271" s="42">
        <f t="shared" si="11"/>
        <v>3346717.43</v>
      </c>
      <c r="I271" s="42">
        <f t="shared" si="11"/>
        <v>771209.17999999993</v>
      </c>
      <c r="J271" s="42">
        <f t="shared" si="11"/>
        <v>121130.53</v>
      </c>
      <c r="K271" s="42">
        <f t="shared" si="11"/>
        <v>1310754.5999999999</v>
      </c>
      <c r="L271" s="42">
        <f t="shared" si="11"/>
        <v>21269145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164341.24</f>
        <v>164341.24</v>
      </c>
      <c r="G276" s="18">
        <f>38919.93</f>
        <v>38919.93</v>
      </c>
      <c r="H276" s="18">
        <f>889.91</f>
        <v>889.91</v>
      </c>
      <c r="I276" s="18">
        <f>11653.91</f>
        <v>11653.91</v>
      </c>
      <c r="J276" s="18">
        <f>18281.54</f>
        <v>18281.54</v>
      </c>
      <c r="K276" s="18"/>
      <c r="L276" s="19">
        <f>SUM(F276:K276)</f>
        <v>234086.53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49730.97+19750.9</f>
        <v>69481.87</v>
      </c>
      <c r="G277" s="18">
        <f>34459.61+7006.88</f>
        <v>41466.49</v>
      </c>
      <c r="H277" s="18">
        <f>1052.97</f>
        <v>1052.97</v>
      </c>
      <c r="I277" s="18">
        <f>174+4056.84</f>
        <v>4230.84</v>
      </c>
      <c r="J277" s="18"/>
      <c r="K277" s="18"/>
      <c r="L277" s="19">
        <f>SUM(F277:K277)</f>
        <v>116232.16999999998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47304.75+23165.28</f>
        <v>70470.03</v>
      </c>
      <c r="G279" s="18">
        <f>4630.27+9928.02</f>
        <v>14558.29</v>
      </c>
      <c r="H279" s="18">
        <f>19049.36</f>
        <v>19049.36</v>
      </c>
      <c r="I279" s="18"/>
      <c r="J279" s="18"/>
      <c r="K279" s="18"/>
      <c r="L279" s="19">
        <f>SUM(F279:K279)</f>
        <v>104077.68000000001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912.28+22319.66</f>
        <v>23231.94</v>
      </c>
      <c r="G281" s="18">
        <f>86.31+5707.38</f>
        <v>5793.6900000000005</v>
      </c>
      <c r="H281" s="18">
        <f>4529.58</f>
        <v>4529.58</v>
      </c>
      <c r="I281" s="18">
        <f>17965.16</f>
        <v>17965.16</v>
      </c>
      <c r="J281" s="18"/>
      <c r="K281" s="18"/>
      <c r="L281" s="19">
        <f t="shared" ref="L281:L287" si="12">SUM(F281:K281)</f>
        <v>51520.369999999995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3683.48</f>
        <v>3683.48</v>
      </c>
      <c r="G282" s="18">
        <f>2040.81</f>
        <v>2040.81</v>
      </c>
      <c r="H282" s="18">
        <f>3242.01</f>
        <v>3242.01</v>
      </c>
      <c r="I282" s="18"/>
      <c r="J282" s="18"/>
      <c r="K282" s="18"/>
      <c r="L282" s="19">
        <f t="shared" si="12"/>
        <v>8966.2999999999993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f>59.38</f>
        <v>59.38</v>
      </c>
      <c r="I287" s="18"/>
      <c r="J287" s="18"/>
      <c r="K287" s="18"/>
      <c r="L287" s="19">
        <f t="shared" si="12"/>
        <v>59.38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25</v>
      </c>
      <c r="I288" s="18"/>
      <c r="J288" s="18"/>
      <c r="K288" s="18"/>
      <c r="L288" s="19">
        <f>SUM(F288:K288)</f>
        <v>25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331208.56</v>
      </c>
      <c r="G290" s="42">
        <f t="shared" si="13"/>
        <v>102779.20999999999</v>
      </c>
      <c r="H290" s="42">
        <f t="shared" si="13"/>
        <v>28848.210000000003</v>
      </c>
      <c r="I290" s="42">
        <f t="shared" si="13"/>
        <v>33849.910000000003</v>
      </c>
      <c r="J290" s="42">
        <f t="shared" si="13"/>
        <v>18281.54</v>
      </c>
      <c r="K290" s="42">
        <f t="shared" si="13"/>
        <v>0</v>
      </c>
      <c r="L290" s="41">
        <f t="shared" si="13"/>
        <v>514967.42999999993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37400</f>
        <v>37400</v>
      </c>
      <c r="G295" s="18">
        <f>8156.81</f>
        <v>8156.81</v>
      </c>
      <c r="H295" s="18">
        <f>1483.18</f>
        <v>1483.18</v>
      </c>
      <c r="I295" s="18"/>
      <c r="J295" s="18">
        <f>12449.75</f>
        <v>12449.75</v>
      </c>
      <c r="K295" s="18"/>
      <c r="L295" s="19">
        <f>SUM(F295:K295)</f>
        <v>59489.74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16839.62</f>
        <v>16839.62</v>
      </c>
      <c r="G296" s="18">
        <f>5974.07</f>
        <v>5974.07</v>
      </c>
      <c r="H296" s="18">
        <f>897.76</f>
        <v>897.76</v>
      </c>
      <c r="I296" s="18">
        <f>3458.87</f>
        <v>3458.87</v>
      </c>
      <c r="J296" s="18"/>
      <c r="K296" s="18"/>
      <c r="L296" s="19">
        <f>SUM(F296:K296)</f>
        <v>27170.319999999996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f>43148.64+19750.72</f>
        <v>62899.360000000001</v>
      </c>
      <c r="G298" s="18">
        <f>5048.72+8464.64</f>
        <v>13513.36</v>
      </c>
      <c r="H298" s="18">
        <f>16241.49</f>
        <v>16241.49</v>
      </c>
      <c r="I298" s="18"/>
      <c r="J298" s="18"/>
      <c r="K298" s="18"/>
      <c r="L298" s="19">
        <f>SUM(F298:K298)</f>
        <v>92654.21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1718+19029.74</f>
        <v>20747.740000000002</v>
      </c>
      <c r="G300" s="18">
        <f>151.56+4866.11</f>
        <v>5017.67</v>
      </c>
      <c r="H300" s="18">
        <f>3861.92</f>
        <v>3861.92</v>
      </c>
      <c r="I300" s="18">
        <f>16475.29</f>
        <v>16475.29</v>
      </c>
      <c r="J300" s="18"/>
      <c r="K300" s="18"/>
      <c r="L300" s="19">
        <f t="shared" ref="L300:L306" si="14">SUM(F300:K300)</f>
        <v>46102.62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3140.53</f>
        <v>3140.53</v>
      </c>
      <c r="G301" s="18">
        <f>1740</f>
        <v>1740</v>
      </c>
      <c r="H301" s="18">
        <f>6250+2764.14</f>
        <v>9014.14</v>
      </c>
      <c r="I301" s="18"/>
      <c r="J301" s="18"/>
      <c r="K301" s="18"/>
      <c r="L301" s="19">
        <f t="shared" si="14"/>
        <v>13894.67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f>50.62</f>
        <v>50.62</v>
      </c>
      <c r="I306" s="18"/>
      <c r="J306" s="18"/>
      <c r="K306" s="18"/>
      <c r="L306" s="19">
        <f t="shared" si="14"/>
        <v>50.62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141027.25</v>
      </c>
      <c r="G309" s="42">
        <f t="shared" si="15"/>
        <v>34401.910000000003</v>
      </c>
      <c r="H309" s="42">
        <f t="shared" si="15"/>
        <v>31549.109999999997</v>
      </c>
      <c r="I309" s="42">
        <f t="shared" si="15"/>
        <v>19934.16</v>
      </c>
      <c r="J309" s="42">
        <f t="shared" si="15"/>
        <v>12449.75</v>
      </c>
      <c r="K309" s="42">
        <f t="shared" si="15"/>
        <v>0</v>
      </c>
      <c r="L309" s="41">
        <f t="shared" si="15"/>
        <v>239362.18000000002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>
        <f>889.91</f>
        <v>889.91</v>
      </c>
      <c r="I314" s="18">
        <f>943.93</f>
        <v>943.93</v>
      </c>
      <c r="J314" s="18">
        <f>18281.54</f>
        <v>18281.54</v>
      </c>
      <c r="K314" s="18"/>
      <c r="L314" s="19">
        <f>SUM(F314:K314)</f>
        <v>20115.38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33844.2+17565.94</f>
        <v>51410.14</v>
      </c>
      <c r="G315" s="18">
        <f>7824.48+6231.74</f>
        <v>14056.22</v>
      </c>
      <c r="H315" s="18">
        <f>936.49</f>
        <v>936.49</v>
      </c>
      <c r="I315" s="18">
        <f>3608.05</f>
        <v>3608.05</v>
      </c>
      <c r="J315" s="18">
        <f>6100.65</f>
        <v>6100.65</v>
      </c>
      <c r="K315" s="18"/>
      <c r="L315" s="19">
        <f>SUM(F315:K315)</f>
        <v>76111.55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19850.52</f>
        <v>19850.52</v>
      </c>
      <c r="G319" s="18">
        <f>5076</f>
        <v>5076</v>
      </c>
      <c r="H319" s="18">
        <f>4028.5</f>
        <v>4028.5</v>
      </c>
      <c r="I319" s="18"/>
      <c r="J319" s="18"/>
      <c r="K319" s="18"/>
      <c r="L319" s="19">
        <f t="shared" ref="L319:L325" si="16">SUM(F319:K319)</f>
        <v>28955.02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21139.75+3275.99</f>
        <v>24415.739999999998</v>
      </c>
      <c r="G320" s="18">
        <f>4610.78+1815.04</f>
        <v>6425.82</v>
      </c>
      <c r="H320" s="18">
        <f>2886.33+2883.35</f>
        <v>5769.68</v>
      </c>
      <c r="I320" s="18">
        <f>3207.26</f>
        <v>3207.26</v>
      </c>
      <c r="J320" s="18"/>
      <c r="K320" s="18"/>
      <c r="L320" s="19">
        <f t="shared" si="16"/>
        <v>39818.5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95676.4</v>
      </c>
      <c r="G328" s="42">
        <f t="shared" si="17"/>
        <v>25558.04</v>
      </c>
      <c r="H328" s="42">
        <f t="shared" si="17"/>
        <v>11624.58</v>
      </c>
      <c r="I328" s="42">
        <f t="shared" si="17"/>
        <v>7759.2400000000007</v>
      </c>
      <c r="J328" s="42">
        <f t="shared" si="17"/>
        <v>24382.190000000002</v>
      </c>
      <c r="K328" s="42">
        <f t="shared" si="17"/>
        <v>0</v>
      </c>
      <c r="L328" s="41">
        <f t="shared" si="17"/>
        <v>165000.45000000001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567912.21</v>
      </c>
      <c r="G338" s="41">
        <f t="shared" si="20"/>
        <v>162739.16</v>
      </c>
      <c r="H338" s="41">
        <f t="shared" si="20"/>
        <v>72021.899999999994</v>
      </c>
      <c r="I338" s="41">
        <f t="shared" si="20"/>
        <v>61543.310000000005</v>
      </c>
      <c r="J338" s="41">
        <f t="shared" si="20"/>
        <v>55113.48</v>
      </c>
      <c r="K338" s="41">
        <f t="shared" si="20"/>
        <v>0</v>
      </c>
      <c r="L338" s="41">
        <f t="shared" si="20"/>
        <v>919330.06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30231.16</v>
      </c>
      <c r="L344" s="19">
        <f t="shared" ref="L344:L350" si="21">SUM(F344:K344)</f>
        <v>30231.16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30231.16</v>
      </c>
      <c r="L351" s="41">
        <f>SUM(L341:L350)</f>
        <v>30231.16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567912.21</v>
      </c>
      <c r="G352" s="41">
        <f>G338</f>
        <v>162739.16</v>
      </c>
      <c r="H352" s="41">
        <f>H338</f>
        <v>72021.899999999994</v>
      </c>
      <c r="I352" s="41">
        <f>I338</f>
        <v>61543.310000000005</v>
      </c>
      <c r="J352" s="41">
        <f>J338</f>
        <v>55113.48</v>
      </c>
      <c r="K352" s="47">
        <f>K338+K351</f>
        <v>30231.16</v>
      </c>
      <c r="L352" s="41">
        <f>L338+L351</f>
        <v>949561.22000000009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55269.13+1953.36+19345.33</f>
        <v>76567.820000000007</v>
      </c>
      <c r="G358" s="18">
        <f>10399.9+38.28+4284.38+1887.38+4087.35</f>
        <v>20697.29</v>
      </c>
      <c r="H358" s="18">
        <f>773.93+1563.97+182.56</f>
        <v>2520.46</v>
      </c>
      <c r="I358" s="18">
        <f>5715.11+389+44991.21+168.11+1160.83</f>
        <v>52424.26</v>
      </c>
      <c r="J358" s="18">
        <f>253.73</f>
        <v>253.73</v>
      </c>
      <c r="K358" s="18">
        <f>350.5</f>
        <v>350.5</v>
      </c>
      <c r="L358" s="13">
        <f>SUM(F358:K358)</f>
        <v>152814.06000000003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53306+939.35+16493.84</f>
        <v>70739.19</v>
      </c>
      <c r="G359" s="18">
        <f>17828.24+38.28+3918.36+3555.48+3484.88</f>
        <v>28825.24</v>
      </c>
      <c r="H359" s="18">
        <f>804.6+1481.27+1789.6+155.65</f>
        <v>4231.12</v>
      </c>
      <c r="I359" s="18">
        <f>4501.12+1767.99+53765.49+2151.51+143.33+989.72</f>
        <v>63319.16</v>
      </c>
      <c r="J359" s="18">
        <v>0</v>
      </c>
      <c r="K359" s="18">
        <f>298.83</f>
        <v>298.83</v>
      </c>
      <c r="L359" s="19">
        <f>SUM(F359:K359)</f>
        <v>167413.54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65637.82+3122.21+17205.23</f>
        <v>85965.260000000009</v>
      </c>
      <c r="G360" s="18">
        <f>8914.12+38.28+5180.11+4628.74+3635.19</f>
        <v>22396.44</v>
      </c>
      <c r="H360" s="18">
        <f>1138.4+1395.16+285.77+1789.62+162.37</f>
        <v>4771.3200000000006</v>
      </c>
      <c r="I360" s="18">
        <f>3916.83+1672.38+69000.59+10388.33+149.51+1032.41</f>
        <v>86160.05</v>
      </c>
      <c r="J360" s="18">
        <f>381.02</f>
        <v>381.02</v>
      </c>
      <c r="K360" s="18">
        <f>311.72</f>
        <v>311.72000000000003</v>
      </c>
      <c r="L360" s="19">
        <f>SUM(F360:K360)</f>
        <v>199985.81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233272.27000000002</v>
      </c>
      <c r="G362" s="47">
        <f t="shared" si="22"/>
        <v>71918.97</v>
      </c>
      <c r="H362" s="47">
        <f t="shared" si="22"/>
        <v>11522.900000000001</v>
      </c>
      <c r="I362" s="47">
        <f t="shared" si="22"/>
        <v>201903.47000000003</v>
      </c>
      <c r="J362" s="47">
        <f t="shared" si="22"/>
        <v>634.75</v>
      </c>
      <c r="K362" s="47">
        <f t="shared" si="22"/>
        <v>961.05</v>
      </c>
      <c r="L362" s="47">
        <f t="shared" si="22"/>
        <v>520213.41000000003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44991.21+1160.83</f>
        <v>46152.04</v>
      </c>
      <c r="G367" s="18">
        <f>53765.49+2151.51+989.72</f>
        <v>56906.720000000001</v>
      </c>
      <c r="H367" s="18">
        <f>69000.59+10388.33+1032.41</f>
        <v>80421.33</v>
      </c>
      <c r="I367" s="56">
        <f>SUM(F367:H367)</f>
        <v>183480.09000000003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5715.11+389+168.11</f>
        <v>6272.2199999999993</v>
      </c>
      <c r="G368" s="63">
        <f>4501.12+1767.99+143.33</f>
        <v>6412.44</v>
      </c>
      <c r="H368" s="63">
        <f>3916.83+1672.38+149.51</f>
        <v>5738.72</v>
      </c>
      <c r="I368" s="56">
        <f>SUM(F368:H368)</f>
        <v>18423.38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52424.26</v>
      </c>
      <c r="G369" s="47">
        <f>SUM(G367:G368)</f>
        <v>63319.16</v>
      </c>
      <c r="H369" s="47">
        <f>SUM(H367:H368)</f>
        <v>86160.05</v>
      </c>
      <c r="I369" s="47">
        <f>SUM(I367:I368)</f>
        <v>201903.47000000003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f>20833.78+1159429</f>
        <v>1180262.78</v>
      </c>
      <c r="I379" s="18"/>
      <c r="J379" s="18"/>
      <c r="K379" s="18">
        <f>18</f>
        <v>18</v>
      </c>
      <c r="L379" s="13">
        <f t="shared" si="23"/>
        <v>1180280.78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1180262.78</v>
      </c>
      <c r="I382" s="41">
        <f t="shared" si="24"/>
        <v>0</v>
      </c>
      <c r="J382" s="47">
        <f t="shared" si="24"/>
        <v>0</v>
      </c>
      <c r="K382" s="47">
        <f t="shared" si="24"/>
        <v>18</v>
      </c>
      <c r="L382" s="47">
        <f t="shared" si="24"/>
        <v>1180280.78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 t="s">
        <v>287</v>
      </c>
      <c r="G396" s="18">
        <f>155667</f>
        <v>155667</v>
      </c>
      <c r="H396" s="18">
        <f>1102.51</f>
        <v>1102.51</v>
      </c>
      <c r="I396" s="18"/>
      <c r="J396" s="24" t="s">
        <v>289</v>
      </c>
      <c r="K396" s="24" t="s">
        <v>289</v>
      </c>
      <c r="L396" s="56">
        <f t="shared" si="26"/>
        <v>156769.51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 t="s">
        <v>287</v>
      </c>
      <c r="H397" s="18">
        <f>487.31</f>
        <v>487.31</v>
      </c>
      <c r="I397" s="18"/>
      <c r="J397" s="24" t="s">
        <v>289</v>
      </c>
      <c r="K397" s="24" t="s">
        <v>289</v>
      </c>
      <c r="L397" s="56">
        <f t="shared" si="26"/>
        <v>487.31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 t="s">
        <v>287</v>
      </c>
      <c r="G399" s="18">
        <f>15000</f>
        <v>15000</v>
      </c>
      <c r="H399" s="18">
        <f>258.8</f>
        <v>258.8</v>
      </c>
      <c r="I399" s="18"/>
      <c r="J399" s="24" t="s">
        <v>289</v>
      </c>
      <c r="K399" s="24" t="s">
        <v>289</v>
      </c>
      <c r="L399" s="56">
        <f t="shared" si="26"/>
        <v>15258.8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 t="s">
        <v>287</v>
      </c>
      <c r="G400" s="18">
        <f>33333+10000</f>
        <v>43333</v>
      </c>
      <c r="H400" s="18">
        <f>112.31+35.77</f>
        <v>148.08000000000001</v>
      </c>
      <c r="I400" s="18"/>
      <c r="J400" s="24" t="s">
        <v>289</v>
      </c>
      <c r="K400" s="24" t="s">
        <v>289</v>
      </c>
      <c r="L400" s="56">
        <f t="shared" si="26"/>
        <v>43481.08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214000</v>
      </c>
      <c r="H401" s="47">
        <f>SUM(H395:H400)</f>
        <v>1996.6999999999998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215996.7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 t="s">
        <v>916</v>
      </c>
      <c r="B403" s="2" t="s">
        <v>382</v>
      </c>
      <c r="C403" s="6">
        <v>15</v>
      </c>
      <c r="D403" s="2" t="s">
        <v>433</v>
      </c>
      <c r="E403" s="6"/>
      <c r="F403" s="18"/>
      <c r="G403" s="18" t="s">
        <v>287</v>
      </c>
      <c r="H403" s="18">
        <f>305.39</f>
        <v>305.39</v>
      </c>
      <c r="I403" s="18"/>
      <c r="J403" s="24" t="s">
        <v>289</v>
      </c>
      <c r="K403" s="24" t="s">
        <v>289</v>
      </c>
      <c r="L403" s="56">
        <f>SUM(F403:K403)</f>
        <v>305.39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305.39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305.39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214000</v>
      </c>
      <c r="H408" s="47">
        <f>H393+H401+H407</f>
        <v>2302.0899999999997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216302.09000000003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>
        <v>148093.73000000001</v>
      </c>
      <c r="K422" s="18"/>
      <c r="L422" s="56">
        <f t="shared" si="29"/>
        <v>148093.73000000001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>
        <v>42709.43</v>
      </c>
      <c r="K425" s="18"/>
      <c r="L425" s="56">
        <f t="shared" si="29"/>
        <v>42709.43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>
        <f>36109.16+2503.63</f>
        <v>38612.79</v>
      </c>
      <c r="K426" s="18"/>
      <c r="L426" s="56">
        <f t="shared" si="29"/>
        <v>38612.79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229415.95</v>
      </c>
      <c r="K427" s="47">
        <f t="shared" si="30"/>
        <v>0</v>
      </c>
      <c r="L427" s="47">
        <f t="shared" si="30"/>
        <v>229415.95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 t="s">
        <v>916</v>
      </c>
      <c r="B429" s="6">
        <v>17</v>
      </c>
      <c r="C429" s="6">
        <v>15</v>
      </c>
      <c r="D429" s="2" t="s">
        <v>433</v>
      </c>
      <c r="E429" s="6"/>
      <c r="F429" s="18"/>
      <c r="G429" s="18"/>
      <c r="H429" s="18">
        <v>2685.47</v>
      </c>
      <c r="I429" s="18"/>
      <c r="J429" s="18"/>
      <c r="K429" s="18"/>
      <c r="L429" s="56">
        <f>SUM(F429:K429)</f>
        <v>2685.47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2685.47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2685.47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2685.47</v>
      </c>
      <c r="I434" s="47">
        <f t="shared" si="32"/>
        <v>0</v>
      </c>
      <c r="J434" s="47">
        <f t="shared" si="32"/>
        <v>229415.95</v>
      </c>
      <c r="K434" s="47">
        <f t="shared" si="32"/>
        <v>0</v>
      </c>
      <c r="L434" s="47">
        <f t="shared" si="32"/>
        <v>232101.42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395402.64+177623.22</f>
        <v>573025.86</v>
      </c>
      <c r="H439" s="18">
        <v>75125.72</v>
      </c>
      <c r="I439" s="56">
        <f t="shared" ref="I439:I445" si="33">SUM(F439:H439)</f>
        <v>648151.57999999996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573025.86</v>
      </c>
      <c r="H446" s="13">
        <f>SUM(H439:H445)</f>
        <v>75125.72</v>
      </c>
      <c r="I446" s="13">
        <f>SUM(I439:I445)</f>
        <v>648151.57999999996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 t="s">
        <v>287</v>
      </c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 t="s">
        <v>287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 t="s">
        <v>287</v>
      </c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573025.86</v>
      </c>
      <c r="H459" s="18">
        <v>75125.72</v>
      </c>
      <c r="I459" s="56">
        <f t="shared" si="34"/>
        <v>648151.57999999996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573025.86</v>
      </c>
      <c r="H460" s="83">
        <f>SUM(H454:H459)</f>
        <v>75125.72</v>
      </c>
      <c r="I460" s="83">
        <f>SUM(I454:I459)</f>
        <v>648151.57999999996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573025.86</v>
      </c>
      <c r="H461" s="42">
        <f>H452+H460</f>
        <v>75125.72</v>
      </c>
      <c r="I461" s="42">
        <f>I452+I460</f>
        <v>648151.57999999996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535250.80000000005</v>
      </c>
      <c r="G465" s="18">
        <v>0</v>
      </c>
      <c r="H465" s="18">
        <v>0</v>
      </c>
      <c r="I465" s="18">
        <v>0</v>
      </c>
      <c r="J465" s="18">
        <v>663950.91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21222088.370000001</v>
      </c>
      <c r="G468" s="18">
        <v>520728.14</v>
      </c>
      <c r="H468" s="18">
        <v>949561.22</v>
      </c>
      <c r="I468" s="18">
        <f>1220711.92+149.44</f>
        <v>1220861.3599999999</v>
      </c>
      <c r="J468" s="18">
        <f>214000+2302.09</f>
        <v>216302.09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21222088.370000001</v>
      </c>
      <c r="G470" s="53">
        <f>SUM(G468:G469)</f>
        <v>520728.14</v>
      </c>
      <c r="H470" s="53">
        <f>SUM(H468:H469)</f>
        <v>949561.22</v>
      </c>
      <c r="I470" s="53">
        <f>SUM(I468:I469)</f>
        <v>1220861.3599999999</v>
      </c>
      <c r="J470" s="53">
        <f>SUM(J468:J469)</f>
        <v>216302.09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21269145</f>
        <v>21269145</v>
      </c>
      <c r="G472" s="18">
        <v>520213.41</v>
      </c>
      <c r="H472" s="18">
        <v>949561.22</v>
      </c>
      <c r="I472" s="18">
        <v>1180280.78</v>
      </c>
      <c r="J472" s="18">
        <f>229415.95+2685.47</f>
        <v>232101.42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21269145</v>
      </c>
      <c r="G474" s="53">
        <f>SUM(G472:G473)</f>
        <v>520213.41</v>
      </c>
      <c r="H474" s="53">
        <f>SUM(H472:H473)</f>
        <v>949561.22</v>
      </c>
      <c r="I474" s="53">
        <f>SUM(I472:I473)</f>
        <v>1180280.78</v>
      </c>
      <c r="J474" s="53">
        <f>SUM(J472:J473)</f>
        <v>232101.42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488194.17000000179</v>
      </c>
      <c r="G476" s="53">
        <f>(G465+G470)- G474</f>
        <v>514.73000000003958</v>
      </c>
      <c r="H476" s="53">
        <f>(H465+H470)- H474</f>
        <v>0</v>
      </c>
      <c r="I476" s="53">
        <f>(I465+I470)- I474</f>
        <v>40580.579999999842</v>
      </c>
      <c r="J476" s="53">
        <f>(J465+J470)- J474</f>
        <v>648151.57999999996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>
        <v>10</v>
      </c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 t="s">
        <v>914</v>
      </c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 t="s">
        <v>915</v>
      </c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13402490</v>
      </c>
      <c r="G493" s="18">
        <v>1060000</v>
      </c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4.13</v>
      </c>
      <c r="G494" s="18">
        <v>5.0999999999999996</v>
      </c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6415439.4100000001</v>
      </c>
      <c r="G495" s="18">
        <v>1060000</v>
      </c>
      <c r="H495" s="18"/>
      <c r="I495" s="18"/>
      <c r="J495" s="18"/>
      <c r="K495" s="53">
        <f>SUM(F495:J495)</f>
        <v>7475439.4100000001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675662.46</v>
      </c>
      <c r="G497" s="18">
        <v>0</v>
      </c>
      <c r="H497" s="18"/>
      <c r="I497" s="18"/>
      <c r="J497" s="18"/>
      <c r="K497" s="53">
        <f t="shared" si="35"/>
        <v>675662.46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5739776.9500000002</v>
      </c>
      <c r="G498" s="204">
        <f>G495-G497</f>
        <v>1060000</v>
      </c>
      <c r="H498" s="204"/>
      <c r="I498" s="204"/>
      <c r="J498" s="204"/>
      <c r="K498" s="205">
        <f t="shared" si="35"/>
        <v>6799776.9500000002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5036627.05</v>
      </c>
      <c r="G499" s="18">
        <v>268260</v>
      </c>
      <c r="H499" s="18"/>
      <c r="I499" s="18"/>
      <c r="J499" s="18"/>
      <c r="K499" s="53">
        <f t="shared" si="35"/>
        <v>5304887.05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10776404</v>
      </c>
      <c r="G500" s="42">
        <f>SUM(G498:G499)</f>
        <v>1328260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12104664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f>535315.54+113633.66</f>
        <v>648949.20000000007</v>
      </c>
      <c r="G501" s="204">
        <v>110000</v>
      </c>
      <c r="H501" s="204"/>
      <c r="I501" s="204"/>
      <c r="J501" s="204"/>
      <c r="K501" s="205">
        <f t="shared" si="35"/>
        <v>758949.20000000007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288439.96+68223.84</f>
        <v>356663.80000000005</v>
      </c>
      <c r="G502" s="18">
        <f>27030+24225</f>
        <v>51255</v>
      </c>
      <c r="H502" s="18"/>
      <c r="I502" s="18"/>
      <c r="J502" s="18"/>
      <c r="K502" s="53">
        <f t="shared" si="35"/>
        <v>407918.80000000005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1005613.0000000001</v>
      </c>
      <c r="G503" s="42">
        <f>SUM(G501:G502)</f>
        <v>161255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1166868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57657+53812.98+263053+57657.03+269209.61+16116.01+62752.05-19182.67</f>
        <v>761075.01</v>
      </c>
      <c r="G521" s="18">
        <f>229897.43+17828.41+17598.92+83164.07+21807.63+802.36+1935.44+4829.55+1356.98+354.1+67.24+135.94+238.51+48.11+145.34+18341.17+5463.2+3738.92+18675.89+4034.42+23.27+8164.25+7619.82+37258.78+8164.25+24736.59-7362.12</f>
        <v>509068.47000000003</v>
      </c>
      <c r="H521" s="18">
        <f>194472.05+133017.32-4092.79</f>
        <v>323396.58</v>
      </c>
      <c r="I521" s="18">
        <f>1500+996.26+1355.9-197</f>
        <v>3655.1600000000003</v>
      </c>
      <c r="J521" s="18">
        <f>1572+4152.05+787.62</f>
        <v>6511.67</v>
      </c>
      <c r="K521" s="18">
        <f>13276.8</f>
        <v>13276.8</v>
      </c>
      <c r="L521" s="88">
        <f>SUM(F521:K521)</f>
        <v>1616983.69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178083.92+66632.02+245285.74+53502.42-16355.13</f>
        <v>527148.97</v>
      </c>
      <c r="G522" s="18">
        <f>213746.61+81577.6+21234.98+4873.2+2152.8+339.87+192.26+144.04+180.96+16358.26+12197.77+4662.56+25216.71+9435.14+21090.42-6276.95</f>
        <v>407126.23</v>
      </c>
      <c r="H522" s="18">
        <f>450231.14+113410.58-3489.52</f>
        <v>560152.19999999995</v>
      </c>
      <c r="I522" s="18">
        <f>1500+1156.03-167.97</f>
        <v>2488.06</v>
      </c>
      <c r="J522" s="18">
        <f>199.99+671.53</f>
        <v>871.52</v>
      </c>
      <c r="K522" s="18">
        <f>11319.8</f>
        <v>11319.8</v>
      </c>
      <c r="L522" s="88">
        <f>SUM(F522:K522)</f>
        <v>1509106.78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71884+53999.92+122091+187980.9+55810.04-17060.57</f>
        <v>474705.28999999992</v>
      </c>
      <c r="G523" s="18">
        <f>176649.37+31740.38+29885.18+1497.8+667.16+1920.12+239.88+96.2+144.04+144.16+145.86+12331.58+4983.46+4133.04+8834.18+10178.73+7646.34+17287.77+22000.08-6547.68</f>
        <v>323977.65000000002</v>
      </c>
      <c r="H523" s="18">
        <f>493165.73+118302.14-3640.02</f>
        <v>607827.85</v>
      </c>
      <c r="I523" s="18">
        <f>1500+1205.9-175.21</f>
        <v>2530.69</v>
      </c>
      <c r="J523" s="18">
        <f>160.72+700.49</f>
        <v>861.21</v>
      </c>
      <c r="K523" s="18">
        <f>11808.04</f>
        <v>11808.04</v>
      </c>
      <c r="L523" s="88">
        <f>SUM(F523:K523)</f>
        <v>1421710.73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1762929.27</v>
      </c>
      <c r="G524" s="108">
        <f t="shared" ref="G524:L524" si="36">SUM(G521:G523)</f>
        <v>1240172.3500000001</v>
      </c>
      <c r="H524" s="108">
        <f t="shared" si="36"/>
        <v>1491376.63</v>
      </c>
      <c r="I524" s="108">
        <f t="shared" si="36"/>
        <v>8673.91</v>
      </c>
      <c r="J524" s="108">
        <f t="shared" si="36"/>
        <v>8244.4000000000015</v>
      </c>
      <c r="K524" s="108">
        <f t="shared" si="36"/>
        <v>36404.639999999999</v>
      </c>
      <c r="L524" s="89">
        <f t="shared" si="36"/>
        <v>4547801.1999999993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28381.18+72950.89</f>
        <v>101332.07</v>
      </c>
      <c r="G526" s="18">
        <f>13704.19+54200.9</f>
        <v>67905.09</v>
      </c>
      <c r="H526" s="18"/>
      <c r="I526" s="18">
        <f>1458.37+722.48</f>
        <v>2180.85</v>
      </c>
      <c r="J526" s="18"/>
      <c r="K526" s="18"/>
      <c r="L526" s="88">
        <f>SUM(F526:K526)</f>
        <v>171418.01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24197.8+55183.28</f>
        <v>79381.08</v>
      </c>
      <c r="G527" s="18">
        <f>11684.2+34867.67</f>
        <v>46551.869999999995</v>
      </c>
      <c r="H527" s="18"/>
      <c r="I527" s="18">
        <f>1243.41+615.99</f>
        <v>1859.4</v>
      </c>
      <c r="J527" s="18"/>
      <c r="K527" s="18"/>
      <c r="L527" s="88">
        <f>SUM(F527:K527)</f>
        <v>127792.34999999999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25241.48+36355.17</f>
        <v>61596.649999999994</v>
      </c>
      <c r="G528" s="18">
        <f>12188.15+32311.42</f>
        <v>44499.57</v>
      </c>
      <c r="H528" s="18"/>
      <c r="I528" s="18">
        <f>1297.04+642.56</f>
        <v>1939.6</v>
      </c>
      <c r="J528" s="18"/>
      <c r="K528" s="18"/>
      <c r="L528" s="88">
        <f>SUM(F528:K528)</f>
        <v>108035.82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242309.80000000002</v>
      </c>
      <c r="G529" s="89">
        <f t="shared" ref="G529:L529" si="37">SUM(G526:G528)</f>
        <v>158956.53</v>
      </c>
      <c r="H529" s="89">
        <f t="shared" si="37"/>
        <v>0</v>
      </c>
      <c r="I529" s="89">
        <f t="shared" si="37"/>
        <v>5979.85</v>
      </c>
      <c r="J529" s="89">
        <f t="shared" si="37"/>
        <v>0</v>
      </c>
      <c r="K529" s="89">
        <f t="shared" si="37"/>
        <v>0</v>
      </c>
      <c r="L529" s="89">
        <f t="shared" si="37"/>
        <v>407246.18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39350.9</v>
      </c>
      <c r="G531" s="18">
        <v>22607.82</v>
      </c>
      <c r="H531" s="18">
        <v>271.43</v>
      </c>
      <c r="I531" s="18"/>
      <c r="J531" s="18"/>
      <c r="K531" s="18">
        <v>479.95</v>
      </c>
      <c r="L531" s="88">
        <f>SUM(F531:K531)</f>
        <v>62710.1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33550.589999999997</v>
      </c>
      <c r="G532" s="18">
        <v>19275.43</v>
      </c>
      <c r="H532" s="18">
        <v>231.42</v>
      </c>
      <c r="I532" s="18"/>
      <c r="J532" s="18"/>
      <c r="K532" s="18">
        <v>409.2</v>
      </c>
      <c r="L532" s="88">
        <f>SUM(F532:K532)</f>
        <v>53466.639999999992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34997.67</v>
      </c>
      <c r="G533" s="18">
        <v>20106.8</v>
      </c>
      <c r="H533" s="18">
        <v>241.4</v>
      </c>
      <c r="I533" s="18"/>
      <c r="J533" s="18"/>
      <c r="K533" s="18">
        <v>426.85</v>
      </c>
      <c r="L533" s="88">
        <f>SUM(F533:K533)</f>
        <v>55772.72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107899.15999999999</v>
      </c>
      <c r="G534" s="89">
        <f t="shared" ref="G534:L534" si="38">SUM(G531:G533)</f>
        <v>61990.05</v>
      </c>
      <c r="H534" s="89">
        <f t="shared" si="38"/>
        <v>744.25</v>
      </c>
      <c r="I534" s="89">
        <f t="shared" si="38"/>
        <v>0</v>
      </c>
      <c r="J534" s="89">
        <f t="shared" si="38"/>
        <v>0</v>
      </c>
      <c r="K534" s="89">
        <f t="shared" si="38"/>
        <v>1316</v>
      </c>
      <c r="L534" s="89">
        <f t="shared" si="38"/>
        <v>171949.46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4092.79</f>
        <v>4092.79</v>
      </c>
      <c r="I536" s="18"/>
      <c r="J536" s="18"/>
      <c r="K536" s="18"/>
      <c r="L536" s="88">
        <f>SUM(F536:K536)</f>
        <v>4092.79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3489.52</f>
        <v>3489.52</v>
      </c>
      <c r="I537" s="18"/>
      <c r="J537" s="18"/>
      <c r="K537" s="18"/>
      <c r="L537" s="88">
        <f>SUM(F537:K537)</f>
        <v>3489.52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3640.02</f>
        <v>3640.02</v>
      </c>
      <c r="I538" s="18"/>
      <c r="J538" s="18"/>
      <c r="K538" s="18"/>
      <c r="L538" s="88">
        <f>SUM(F538:K538)</f>
        <v>3640.02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11222.33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11222.33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38899.36+60450</f>
        <v>99349.36</v>
      </c>
      <c r="I541" s="18"/>
      <c r="J541" s="18"/>
      <c r="K541" s="18"/>
      <c r="L541" s="88">
        <f>SUM(F541:K541)</f>
        <v>99349.36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f>116698.07+17550</f>
        <v>134248.07</v>
      </c>
      <c r="I542" s="18"/>
      <c r="J542" s="18"/>
      <c r="K542" s="18"/>
      <c r="L542" s="88">
        <f>SUM(F542:K542)</f>
        <v>134248.07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97248.39+23400</f>
        <v>120648.39</v>
      </c>
      <c r="I543" s="18"/>
      <c r="J543" s="18"/>
      <c r="K543" s="18"/>
      <c r="L543" s="88">
        <f>SUM(F543:K543)</f>
        <v>120648.39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354245.82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354245.82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2113138.23</v>
      </c>
      <c r="G545" s="89">
        <f t="shared" ref="G545:L545" si="41">G524+G529+G534+G539+G544</f>
        <v>1461118.9300000002</v>
      </c>
      <c r="H545" s="89">
        <f t="shared" si="41"/>
        <v>1857589.03</v>
      </c>
      <c r="I545" s="89">
        <f t="shared" si="41"/>
        <v>14653.76</v>
      </c>
      <c r="J545" s="89">
        <f t="shared" si="41"/>
        <v>8244.4000000000015</v>
      </c>
      <c r="K545" s="89">
        <f t="shared" si="41"/>
        <v>37720.639999999999</v>
      </c>
      <c r="L545" s="89">
        <f t="shared" si="41"/>
        <v>5492464.9899999993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1616983.69</v>
      </c>
      <c r="G549" s="87">
        <f>L526</f>
        <v>171418.01</v>
      </c>
      <c r="H549" s="87">
        <f>L531</f>
        <v>62710.1</v>
      </c>
      <c r="I549" s="87">
        <f>L536</f>
        <v>4092.79</v>
      </c>
      <c r="J549" s="87">
        <f>L541</f>
        <v>99349.36</v>
      </c>
      <c r="K549" s="87">
        <f>SUM(F549:J549)</f>
        <v>1954553.9500000002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1509106.78</v>
      </c>
      <c r="G550" s="87">
        <f>L527</f>
        <v>127792.34999999999</v>
      </c>
      <c r="H550" s="87">
        <f>L532</f>
        <v>53466.639999999992</v>
      </c>
      <c r="I550" s="87">
        <f>L537</f>
        <v>3489.52</v>
      </c>
      <c r="J550" s="87">
        <f>L542</f>
        <v>134248.07</v>
      </c>
      <c r="K550" s="87">
        <f>SUM(F550:J550)</f>
        <v>1828103.36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1421710.73</v>
      </c>
      <c r="G551" s="87">
        <f>L528</f>
        <v>108035.82</v>
      </c>
      <c r="H551" s="87">
        <f>L533</f>
        <v>55772.72</v>
      </c>
      <c r="I551" s="87">
        <f>L538</f>
        <v>3640.02</v>
      </c>
      <c r="J551" s="87">
        <f>L543</f>
        <v>120648.39</v>
      </c>
      <c r="K551" s="87">
        <f>SUM(F551:J551)</f>
        <v>1709807.68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4547801.1999999993</v>
      </c>
      <c r="G552" s="89">
        <f t="shared" si="42"/>
        <v>407246.18</v>
      </c>
      <c r="H552" s="89">
        <f t="shared" si="42"/>
        <v>171949.46</v>
      </c>
      <c r="I552" s="89">
        <f t="shared" si="42"/>
        <v>11222.33</v>
      </c>
      <c r="J552" s="89">
        <f t="shared" si="42"/>
        <v>354245.82</v>
      </c>
      <c r="K552" s="89">
        <f t="shared" si="42"/>
        <v>5492464.9900000002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19182.67</f>
        <v>19182.669999999998</v>
      </c>
      <c r="G562" s="18">
        <f>7362.12</f>
        <v>7362.12</v>
      </c>
      <c r="H562" s="18"/>
      <c r="I562" s="18">
        <f>197</f>
        <v>197</v>
      </c>
      <c r="J562" s="18"/>
      <c r="K562" s="18"/>
      <c r="L562" s="88">
        <f>SUM(F562:K562)</f>
        <v>26741.789999999997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16355.14</f>
        <v>16355.14</v>
      </c>
      <c r="G563" s="18">
        <f>6276.95</f>
        <v>6276.95</v>
      </c>
      <c r="H563" s="18"/>
      <c r="I563" s="18">
        <f>167.97</f>
        <v>167.97</v>
      </c>
      <c r="J563" s="18"/>
      <c r="K563" s="18"/>
      <c r="L563" s="88">
        <f>SUM(F563:K563)</f>
        <v>22800.06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17060.56</f>
        <v>17060.560000000001</v>
      </c>
      <c r="G564" s="18">
        <f>6547.68</f>
        <v>6547.68</v>
      </c>
      <c r="H564" s="18"/>
      <c r="I564" s="18">
        <f>175.21</f>
        <v>175.21</v>
      </c>
      <c r="J564" s="18"/>
      <c r="K564" s="18"/>
      <c r="L564" s="88">
        <f>SUM(F564:K564)</f>
        <v>23783.45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52598.369999999995</v>
      </c>
      <c r="G565" s="89">
        <f t="shared" si="44"/>
        <v>20186.75</v>
      </c>
      <c r="H565" s="89">
        <f t="shared" si="44"/>
        <v>0</v>
      </c>
      <c r="I565" s="89">
        <f t="shared" si="44"/>
        <v>540.18000000000006</v>
      </c>
      <c r="J565" s="89">
        <f t="shared" si="44"/>
        <v>0</v>
      </c>
      <c r="K565" s="89">
        <f t="shared" si="44"/>
        <v>0</v>
      </c>
      <c r="L565" s="89">
        <f t="shared" si="44"/>
        <v>73325.3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52598.369999999995</v>
      </c>
      <c r="G571" s="89">
        <f t="shared" ref="G571:L571" si="46">G560+G565+G570</f>
        <v>20186.75</v>
      </c>
      <c r="H571" s="89">
        <f t="shared" si="46"/>
        <v>0</v>
      </c>
      <c r="I571" s="89">
        <f t="shared" si="46"/>
        <v>540.18000000000006</v>
      </c>
      <c r="J571" s="89">
        <f t="shared" si="46"/>
        <v>0</v>
      </c>
      <c r="K571" s="89">
        <f t="shared" si="46"/>
        <v>0</v>
      </c>
      <c r="L571" s="89">
        <f t="shared" si="46"/>
        <v>73325.3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99411.24</v>
      </c>
      <c r="G582" s="18">
        <v>450231.14</v>
      </c>
      <c r="H582" s="18">
        <v>208113.46</v>
      </c>
      <c r="I582" s="87">
        <f t="shared" si="47"/>
        <v>757755.84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>
        <v>95060.81</v>
      </c>
      <c r="G583" s="18"/>
      <c r="H583" s="18">
        <v>285052.27</v>
      </c>
      <c r="I583" s="87">
        <f t="shared" si="47"/>
        <v>380113.08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199718</v>
      </c>
      <c r="I584" s="87">
        <f t="shared" si="47"/>
        <v>199718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158921.14</f>
        <v>158921.14000000001</v>
      </c>
      <c r="I591" s="18">
        <f>139056</f>
        <v>139056</v>
      </c>
      <c r="J591" s="18">
        <f>168276.86-J593</f>
        <v>119190.85999999999</v>
      </c>
      <c r="K591" s="104">
        <f t="shared" ref="K591:K597" si="48">SUM(H591:J591)</f>
        <v>417168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38899.36+60450</f>
        <v>99349.36</v>
      </c>
      <c r="I592" s="18">
        <f>116698.07+17550</f>
        <v>134248.07</v>
      </c>
      <c r="J592" s="18">
        <f>97248.39+23400</f>
        <v>120648.39</v>
      </c>
      <c r="K592" s="104">
        <f t="shared" si="48"/>
        <v>354245.82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f>49086</f>
        <v>49086</v>
      </c>
      <c r="K593" s="104">
        <f t="shared" si="48"/>
        <v>49086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f>5584.77</f>
        <v>5584.77</v>
      </c>
      <c r="J594" s="18">
        <f>30075.13</f>
        <v>30075.13</v>
      </c>
      <c r="K594" s="104">
        <f t="shared" si="48"/>
        <v>35659.9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1934</f>
        <v>1934</v>
      </c>
      <c r="I595" s="18">
        <f>1934</f>
        <v>1934</v>
      </c>
      <c r="J595" s="18">
        <f>5295.55</f>
        <v>5295.55</v>
      </c>
      <c r="K595" s="104">
        <f t="shared" si="48"/>
        <v>9163.5499999999993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7597.19</v>
      </c>
      <c r="I596" s="18">
        <v>6477.37</v>
      </c>
      <c r="J596" s="18"/>
      <c r="K596" s="104">
        <f t="shared" si="48"/>
        <v>14074.56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f>4239.59</f>
        <v>4239.59</v>
      </c>
      <c r="I597" s="18">
        <f>7066</f>
        <v>7066</v>
      </c>
      <c r="J597" s="18">
        <f>4239.59</f>
        <v>4239.59</v>
      </c>
      <c r="K597" s="104">
        <f t="shared" si="48"/>
        <v>15545.18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272041.28000000003</v>
      </c>
      <c r="I598" s="108">
        <f>SUM(I591:I597)</f>
        <v>294366.21000000002</v>
      </c>
      <c r="J598" s="108">
        <f>SUM(J591:J597)</f>
        <v>328535.52</v>
      </c>
      <c r="K598" s="108">
        <f>SUM(K591:K597)</f>
        <v>894943.01000000024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25469.77+15767.56+18281.54</f>
        <v>59518.87</v>
      </c>
      <c r="I604" s="18">
        <f>31346.74+13443.42+12449.75</f>
        <v>57239.91</v>
      </c>
      <c r="J604" s="18">
        <f>21079.79+14023.25+24382.19</f>
        <v>59485.229999999996</v>
      </c>
      <c r="K604" s="104">
        <f>SUM(H604:J604)</f>
        <v>176244.01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59518.87</v>
      </c>
      <c r="I605" s="108">
        <f>SUM(I602:I604)</f>
        <v>57239.91</v>
      </c>
      <c r="J605" s="108">
        <f>SUM(J602:J604)</f>
        <v>59485.229999999996</v>
      </c>
      <c r="K605" s="108">
        <f>SUM(K602:K604)</f>
        <v>176244.01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3200</v>
      </c>
      <c r="G612" s="18">
        <f>244.8+453.12</f>
        <v>697.92000000000007</v>
      </c>
      <c r="H612" s="18"/>
      <c r="I612" s="18"/>
      <c r="J612" s="18"/>
      <c r="K612" s="18"/>
      <c r="L612" s="88">
        <f>SUM(F612:K612)</f>
        <v>3897.92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7380</v>
      </c>
      <c r="G613" s="18">
        <f>564.57+1050.13</f>
        <v>1614.7000000000003</v>
      </c>
      <c r="H613" s="18"/>
      <c r="I613" s="18"/>
      <c r="J613" s="18"/>
      <c r="K613" s="18"/>
      <c r="L613" s="88">
        <f>SUM(F613:K613)</f>
        <v>8994.7000000000007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10580</v>
      </c>
      <c r="G614" s="108">
        <f t="shared" si="49"/>
        <v>2312.6200000000003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12892.62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1303043.31</v>
      </c>
      <c r="H617" s="109">
        <f>SUM(F52)</f>
        <v>1303043.31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16236.84</v>
      </c>
      <c r="H618" s="109">
        <f>SUM(G52)</f>
        <v>16236.84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105896.78</v>
      </c>
      <c r="H619" s="109">
        <f>SUM(H52)</f>
        <v>105896.78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40580.58</v>
      </c>
      <c r="H620" s="109">
        <f>SUM(I52)</f>
        <v>40580.58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648151.57999999996</v>
      </c>
      <c r="H621" s="109">
        <f>SUM(J52)</f>
        <v>648151.57999999996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488194.17</v>
      </c>
      <c r="H622" s="109">
        <f>F476</f>
        <v>488194.17000000179</v>
      </c>
      <c r="I622" s="121" t="s">
        <v>101</v>
      </c>
      <c r="J622" s="109">
        <f t="shared" ref="J622:J655" si="50">G622-H622</f>
        <v>-1.8044374883174896E-9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514.73</v>
      </c>
      <c r="H623" s="109">
        <f>G476</f>
        <v>514.73000000003958</v>
      </c>
      <c r="I623" s="121" t="s">
        <v>102</v>
      </c>
      <c r="J623" s="109">
        <f t="shared" si="50"/>
        <v>-3.9563019527122378E-11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40580.58</v>
      </c>
      <c r="H625" s="109">
        <f>I476</f>
        <v>40580.579999999842</v>
      </c>
      <c r="I625" s="121" t="s">
        <v>104</v>
      </c>
      <c r="J625" s="109">
        <f t="shared" si="50"/>
        <v>1.6007106751203537E-10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648151.57999999996</v>
      </c>
      <c r="H626" s="109">
        <f>J476</f>
        <v>648151.57999999996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21222088.369999997</v>
      </c>
      <c r="H627" s="104">
        <f>SUM(F468)</f>
        <v>21222088.370000001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520728.13999999996</v>
      </c>
      <c r="H628" s="104">
        <f>SUM(G468)</f>
        <v>520728.14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949561.22</v>
      </c>
      <c r="H629" s="104">
        <f>SUM(H468)</f>
        <v>949561.22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1220861.3599999999</v>
      </c>
      <c r="H630" s="104">
        <f>SUM(I468)</f>
        <v>1220861.3599999999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216302.09</v>
      </c>
      <c r="H631" s="104">
        <f>SUM(J468)</f>
        <v>216302.09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21269145</v>
      </c>
      <c r="H632" s="104">
        <f>SUM(F472)</f>
        <v>21269145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949561.22000000009</v>
      </c>
      <c r="H633" s="104">
        <f>SUM(H472)</f>
        <v>949561.22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201903.47000000003</v>
      </c>
      <c r="H634" s="104">
        <f>I369</f>
        <v>201903.47000000003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520213.41000000003</v>
      </c>
      <c r="H635" s="104">
        <f>SUM(G472)</f>
        <v>520213.41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1180280.78</v>
      </c>
      <c r="H636" s="104">
        <f>SUM(I472)</f>
        <v>1180280.78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216302.09000000003</v>
      </c>
      <c r="H637" s="164">
        <f>SUM(J468)</f>
        <v>216302.09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232101.42</v>
      </c>
      <c r="H638" s="164">
        <f>SUM(J472)</f>
        <v>232101.42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573025.86</v>
      </c>
      <c r="H640" s="104">
        <f>SUM(G461)</f>
        <v>573025.86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75125.72</v>
      </c>
      <c r="H641" s="104">
        <f>SUM(H461)</f>
        <v>75125.72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648151.57999999996</v>
      </c>
      <c r="H642" s="104">
        <f>SUM(I461)</f>
        <v>648151.57999999996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2302.09</v>
      </c>
      <c r="H644" s="104">
        <f>H408</f>
        <v>2302.0899999999997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214000</v>
      </c>
      <c r="H645" s="104">
        <f>G408</f>
        <v>214000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216302.09</v>
      </c>
      <c r="H646" s="104">
        <f>L408</f>
        <v>216302.09000000003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894943.01000000024</v>
      </c>
      <c r="H647" s="104">
        <f>L208+L226+L244</f>
        <v>894943.01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176244.01</v>
      </c>
      <c r="H648" s="104">
        <f>(J257+J338)-(J255+J336)</f>
        <v>176244.01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272041.28000000003</v>
      </c>
      <c r="H649" s="104">
        <f>H598</f>
        <v>272041.28000000003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294366.20999999996</v>
      </c>
      <c r="H650" s="104">
        <f>I598</f>
        <v>294366.21000000002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328535.52</v>
      </c>
      <c r="H651" s="104">
        <f>J598</f>
        <v>328535.52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214000</v>
      </c>
      <c r="H655" s="104">
        <f>K266+K347</f>
        <v>214000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7181067.1999999993</v>
      </c>
      <c r="G660" s="19">
        <f>(L229+L309+L359)</f>
        <v>7041621.54</v>
      </c>
      <c r="H660" s="19">
        <f>(L247+L328+L360)</f>
        <v>7219931.8400000008</v>
      </c>
      <c r="I660" s="19">
        <f>SUM(F660:H660)</f>
        <v>21442620.579999998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87084.505000618505</v>
      </c>
      <c r="G661" s="19">
        <f>(L359/IF(SUM(L358:L360)=0,1,SUM(L358:L360))*(SUM(G97:G110)))</f>
        <v>95404.344739621767</v>
      </c>
      <c r="H661" s="19">
        <f>(L360/IF(SUM(L358:L360)=0,1,SUM(L358:L360))*(SUM(G97:G110)))</f>
        <v>113966.38025975972</v>
      </c>
      <c r="I661" s="19">
        <f>SUM(F661:H661)</f>
        <v>296455.23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272100.66000000003</v>
      </c>
      <c r="G662" s="19">
        <f>(L226+L306)-(J226+J306)</f>
        <v>294416.82999999996</v>
      </c>
      <c r="H662" s="19">
        <f>(L244+L325)-(J244+J325)</f>
        <v>328535.52</v>
      </c>
      <c r="I662" s="19">
        <f>SUM(F662:H662)</f>
        <v>895053.01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253990.91999999998</v>
      </c>
      <c r="G663" s="199">
        <f>SUM(G575:G587)+SUM(I602:I604)+L612</f>
        <v>511368.97000000003</v>
      </c>
      <c r="H663" s="199">
        <f>SUM(H575:H587)+SUM(J602:J604)+L613</f>
        <v>761363.65999999992</v>
      </c>
      <c r="I663" s="19">
        <f>SUM(F663:H663)</f>
        <v>1526723.5499999998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6567891.1149993809</v>
      </c>
      <c r="G664" s="19">
        <f>G660-SUM(G661:G663)</f>
        <v>6140431.3952603787</v>
      </c>
      <c r="H664" s="19">
        <f>H660-SUM(H661:H663)</f>
        <v>6016066.2797402414</v>
      </c>
      <c r="I664" s="19">
        <f>I660-SUM(I661:I663)</f>
        <v>18724388.789999999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492.46</v>
      </c>
      <c r="G665" s="248">
        <v>419.88</v>
      </c>
      <c r="H665" s="248">
        <v>438.02</v>
      </c>
      <c r="I665" s="19">
        <f>SUM(F665:H665)</f>
        <v>1350.36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13336.9</v>
      </c>
      <c r="G667" s="19">
        <f>ROUND(G664/G665,2)</f>
        <v>14624.25</v>
      </c>
      <c r="H667" s="19">
        <f>ROUND(H664/H665,2)</f>
        <v>13734.68</v>
      </c>
      <c r="I667" s="19">
        <f>ROUND(I664/I665,2)</f>
        <v>13866.22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-23.06</v>
      </c>
      <c r="I670" s="19">
        <f>SUM(F670:H670)</f>
        <v>-23.06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13336.9</v>
      </c>
      <c r="G672" s="19">
        <f>ROUND((G664+G669)/(G665+G670),2)</f>
        <v>14624.25</v>
      </c>
      <c r="H672" s="19">
        <f>ROUND((H664+H669)/(H665+H670),2)</f>
        <v>14497.94</v>
      </c>
      <c r="I672" s="19">
        <f>ROUND((I664+I669)/(I665+I670),2)</f>
        <v>14107.13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4" workbookViewId="0">
      <selection activeCell="C36" sqref="C36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RAYMOND SCHOOL DISTYRICT</v>
      </c>
      <c r="C1" s="238" t="s">
        <v>839</v>
      </c>
    </row>
    <row r="2" spans="1:3" x14ac:dyDescent="0.2">
      <c r="A2" s="233"/>
      <c r="B2" s="232"/>
    </row>
    <row r="3" spans="1:3" x14ac:dyDescent="0.2">
      <c r="A3" s="279" t="s">
        <v>784</v>
      </c>
      <c r="B3" s="279"/>
      <c r="C3" s="279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8" t="s">
        <v>783</v>
      </c>
      <c r="C6" s="278"/>
    </row>
    <row r="7" spans="1:3" x14ac:dyDescent="0.2">
      <c r="A7" s="239" t="s">
        <v>786</v>
      </c>
      <c r="B7" s="276" t="s">
        <v>782</v>
      </c>
      <c r="C7" s="277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5307138.870000001</v>
      </c>
      <c r="C9" s="229">
        <f>'DOE25'!G197+'DOE25'!G215+'DOE25'!G233+'DOE25'!G276+'DOE25'!G295+'DOE25'!G314</f>
        <v>2763622.4899999993</v>
      </c>
    </row>
    <row r="10" spans="1:3" x14ac:dyDescent="0.2">
      <c r="A10" t="s">
        <v>779</v>
      </c>
      <c r="B10" s="240">
        <v>4906659.51</v>
      </c>
      <c r="C10" s="240">
        <v>2578470.56</v>
      </c>
    </row>
    <row r="11" spans="1:3" x14ac:dyDescent="0.2">
      <c r="A11" t="s">
        <v>780</v>
      </c>
      <c r="B11" s="240">
        <v>150621.41</v>
      </c>
      <c r="C11" s="240">
        <v>94491.06</v>
      </c>
    </row>
    <row r="12" spans="1:3" x14ac:dyDescent="0.2">
      <c r="A12" t="s">
        <v>781</v>
      </c>
      <c r="B12" s="240">
        <v>249857.95</v>
      </c>
      <c r="C12" s="240">
        <v>90660.87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5307138.87</v>
      </c>
      <c r="C13" s="231">
        <f>SUM(C10:C12)</f>
        <v>2763622.49</v>
      </c>
    </row>
    <row r="14" spans="1:3" x14ac:dyDescent="0.2">
      <c r="B14" s="230"/>
      <c r="C14" s="230"/>
    </row>
    <row r="15" spans="1:3" x14ac:dyDescent="0.2">
      <c r="B15" s="278" t="s">
        <v>783</v>
      </c>
      <c r="C15" s="278"/>
    </row>
    <row r="16" spans="1:3" x14ac:dyDescent="0.2">
      <c r="A16" s="239" t="s">
        <v>787</v>
      </c>
      <c r="B16" s="276" t="s">
        <v>707</v>
      </c>
      <c r="C16" s="277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1953259.2699999998</v>
      </c>
      <c r="C18" s="229">
        <f>'DOE25'!G198+'DOE25'!G216+'DOE25'!G234+'DOE25'!G277+'DOE25'!G296+'DOE25'!G315</f>
        <v>1321855.8800000001</v>
      </c>
    </row>
    <row r="19" spans="1:3" x14ac:dyDescent="0.2">
      <c r="A19" t="s">
        <v>779</v>
      </c>
      <c r="B19" s="240">
        <v>1197080.03</v>
      </c>
      <c r="C19" s="240">
        <v>613816.48</v>
      </c>
    </row>
    <row r="20" spans="1:3" x14ac:dyDescent="0.2">
      <c r="A20" t="s">
        <v>780</v>
      </c>
      <c r="B20" s="240">
        <v>748624.24</v>
      </c>
      <c r="C20" s="240">
        <v>707461.42</v>
      </c>
    </row>
    <row r="21" spans="1:3" x14ac:dyDescent="0.2">
      <c r="A21" t="s">
        <v>781</v>
      </c>
      <c r="B21" s="240">
        <v>7555</v>
      </c>
      <c r="C21" s="240">
        <v>577.98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1953259.27</v>
      </c>
      <c r="C22" s="231">
        <f>SUM(C19:C21)</f>
        <v>1321855.8799999999</v>
      </c>
    </row>
    <row r="23" spans="1:3" x14ac:dyDescent="0.2">
      <c r="B23" s="230"/>
      <c r="C23" s="230"/>
    </row>
    <row r="24" spans="1:3" x14ac:dyDescent="0.2">
      <c r="B24" s="278" t="s">
        <v>783</v>
      </c>
      <c r="C24" s="278"/>
    </row>
    <row r="25" spans="1:3" x14ac:dyDescent="0.2">
      <c r="A25" s="239" t="s">
        <v>788</v>
      </c>
      <c r="B25" s="276" t="s">
        <v>708</v>
      </c>
      <c r="C25" s="277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 t="s">
        <v>287</v>
      </c>
      <c r="C28" s="240" t="s">
        <v>287</v>
      </c>
    </row>
    <row r="29" spans="1:3" x14ac:dyDescent="0.2">
      <c r="A29" t="s">
        <v>780</v>
      </c>
      <c r="B29" s="240" t="s">
        <v>287</v>
      </c>
      <c r="C29" s="240" t="s">
        <v>287</v>
      </c>
    </row>
    <row r="30" spans="1:3" x14ac:dyDescent="0.2">
      <c r="A30" t="s">
        <v>781</v>
      </c>
      <c r="B30" s="240" t="s">
        <v>287</v>
      </c>
      <c r="C30" s="240" t="s">
        <v>287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8" t="s">
        <v>783</v>
      </c>
      <c r="C33" s="278"/>
    </row>
    <row r="34" spans="1:3" x14ac:dyDescent="0.2">
      <c r="A34" s="239" t="s">
        <v>789</v>
      </c>
      <c r="B34" s="276" t="s">
        <v>709</v>
      </c>
      <c r="C34" s="277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274492.53000000003</v>
      </c>
      <c r="C36" s="235">
        <f>'DOE25'!G200+'DOE25'!G218+'DOE25'!G236+'DOE25'!G279+'DOE25'!G298+'DOE25'!G317</f>
        <v>50241.94</v>
      </c>
    </row>
    <row r="37" spans="1:3" x14ac:dyDescent="0.2">
      <c r="A37" t="s">
        <v>779</v>
      </c>
      <c r="B37" s="240">
        <v>90328.1</v>
      </c>
      <c r="C37" s="240">
        <v>18915.68</v>
      </c>
    </row>
    <row r="38" spans="1:3" x14ac:dyDescent="0.2">
      <c r="A38" t="s">
        <v>780</v>
      </c>
      <c r="B38" s="240">
        <v>14817.64</v>
      </c>
      <c r="C38" s="240">
        <v>1209.42</v>
      </c>
    </row>
    <row r="39" spans="1:3" x14ac:dyDescent="0.2">
      <c r="A39" t="s">
        <v>781</v>
      </c>
      <c r="B39" s="240">
        <v>169346.79</v>
      </c>
      <c r="C39" s="240">
        <v>30116.84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274492.53000000003</v>
      </c>
      <c r="C40" s="231">
        <f>SUM(C37:C39)</f>
        <v>50241.94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25" sqref="B2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8" t="s">
        <v>790</v>
      </c>
      <c r="B1" s="283"/>
      <c r="C1" s="283"/>
      <c r="D1" s="283"/>
      <c r="E1" s="283"/>
      <c r="F1" s="283"/>
      <c r="G1" s="283"/>
      <c r="H1" s="283"/>
      <c r="I1" s="181"/>
    </row>
    <row r="2" spans="1:9" x14ac:dyDescent="0.2">
      <c r="A2" s="33" t="s">
        <v>717</v>
      </c>
      <c r="B2" s="265" t="str">
        <f>'DOE25'!A2</f>
        <v>RAYMOND SCHOOL DISTYRICT</v>
      </c>
      <c r="C2" s="181"/>
      <c r="D2" s="181" t="s">
        <v>792</v>
      </c>
      <c r="E2" s="181" t="s">
        <v>794</v>
      </c>
      <c r="F2" s="280" t="s">
        <v>821</v>
      </c>
      <c r="G2" s="281"/>
      <c r="H2" s="282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13181823.420000002</v>
      </c>
      <c r="D5" s="20">
        <f>SUM('DOE25'!L197:L200)+SUM('DOE25'!L215:L218)+SUM('DOE25'!L233:L236)-F5-G5</f>
        <v>13104464.500000002</v>
      </c>
      <c r="E5" s="243"/>
      <c r="F5" s="255">
        <f>SUM('DOE25'!J197:J200)+SUM('DOE25'!J215:J218)+SUM('DOE25'!J233:J236)</f>
        <v>33673.279999999999</v>
      </c>
      <c r="G5" s="53">
        <f>SUM('DOE25'!K197:K200)+SUM('DOE25'!K215:K218)+SUM('DOE25'!K233:K236)</f>
        <v>43685.64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1454173.31</v>
      </c>
      <c r="D6" s="20">
        <f>'DOE25'!L202+'DOE25'!L220+'DOE25'!L238-F6-G6</f>
        <v>1454173.31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611304.51</v>
      </c>
      <c r="D7" s="20">
        <f>'DOE25'!L203+'DOE25'!L221+'DOE25'!L239-F7-G7</f>
        <v>550999.81000000006</v>
      </c>
      <c r="E7" s="243"/>
      <c r="F7" s="255">
        <f>'DOE25'!J203+'DOE25'!J221+'DOE25'!J239</f>
        <v>60304.700000000004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457130.77999999997</v>
      </c>
      <c r="D8" s="243"/>
      <c r="E8" s="20">
        <f>'DOE25'!L204+'DOE25'!L222+'DOE25'!L240-F8-G8-D9-D11</f>
        <v>445492.16</v>
      </c>
      <c r="F8" s="255">
        <f>'DOE25'!J204+'DOE25'!J222+'DOE25'!J240</f>
        <v>0</v>
      </c>
      <c r="G8" s="53">
        <f>'DOE25'!K204+'DOE25'!K222+'DOE25'!K240</f>
        <v>11638.619999999999</v>
      </c>
      <c r="H8" s="259"/>
    </row>
    <row r="9" spans="1:9" x14ac:dyDescent="0.2">
      <c r="A9" s="32">
        <v>2310</v>
      </c>
      <c r="B9" t="s">
        <v>818</v>
      </c>
      <c r="C9" s="245">
        <f t="shared" si="0"/>
        <v>23017.280000000002</v>
      </c>
      <c r="D9" s="244">
        <f>19922.33+3094.95</f>
        <v>23017.280000000002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17533.5</v>
      </c>
      <c r="D10" s="243"/>
      <c r="E10" s="244">
        <v>17533.5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234058.06</v>
      </c>
      <c r="D11" s="244">
        <v>234058.06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1194644.8400000001</v>
      </c>
      <c r="D12" s="20">
        <f>'DOE25'!L205+'DOE25'!L223+'DOE25'!L241-F12-G12</f>
        <v>1187749.8400000001</v>
      </c>
      <c r="E12" s="243"/>
      <c r="F12" s="255">
        <f>'DOE25'!J205+'DOE25'!J223+'DOE25'!J241</f>
        <v>0</v>
      </c>
      <c r="G12" s="53">
        <f>'DOE25'!K205+'DOE25'!K223+'DOE25'!K241</f>
        <v>6895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236259.19</v>
      </c>
      <c r="D13" s="243"/>
      <c r="E13" s="20">
        <f>'DOE25'!L206+'DOE25'!L224+'DOE25'!L242-F13-G13</f>
        <v>234696.52</v>
      </c>
      <c r="F13" s="255">
        <f>'DOE25'!J206+'DOE25'!J224+'DOE25'!J242</f>
        <v>0</v>
      </c>
      <c r="G13" s="53">
        <f>'DOE25'!K206+'DOE25'!K224+'DOE25'!K242</f>
        <v>1562.67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1713429.29</v>
      </c>
      <c r="D14" s="20">
        <f>'DOE25'!L207+'DOE25'!L225+'DOE25'!L243-F14-G14</f>
        <v>1686276.74</v>
      </c>
      <c r="E14" s="243"/>
      <c r="F14" s="255">
        <f>'DOE25'!J207+'DOE25'!J225+'DOE25'!J243</f>
        <v>27152.55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894943.01</v>
      </c>
      <c r="D15" s="20">
        <f>'DOE25'!L208+'DOE25'!L226+'DOE25'!L244-F15-G15</f>
        <v>894943.01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2293.42</v>
      </c>
      <c r="D16" s="243"/>
      <c r="E16" s="20">
        <f>'DOE25'!L209+'DOE25'!L227+'DOE25'!L245-F16-G16</f>
        <v>2293.42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19095.22</v>
      </c>
      <c r="D19" s="20">
        <f>'DOE25'!L253-F19-G19</f>
        <v>19095.22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1032972.6699999999</v>
      </c>
      <c r="D25" s="243"/>
      <c r="E25" s="243"/>
      <c r="F25" s="258"/>
      <c r="G25" s="256"/>
      <c r="H25" s="257">
        <f>'DOE25'!L260+'DOE25'!L261+'DOE25'!L341+'DOE25'!L342</f>
        <v>1032972.6699999999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336733.32</v>
      </c>
      <c r="D29" s="20">
        <f>'DOE25'!L358+'DOE25'!L359+'DOE25'!L360-'DOE25'!I367-F29-G29</f>
        <v>335137.52</v>
      </c>
      <c r="E29" s="243"/>
      <c r="F29" s="255">
        <f>'DOE25'!J358+'DOE25'!J359+'DOE25'!J360</f>
        <v>634.75</v>
      </c>
      <c r="G29" s="53">
        <f>'DOE25'!K358+'DOE25'!K359+'DOE25'!K360</f>
        <v>961.05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919330.06</v>
      </c>
      <c r="D31" s="20">
        <f>'DOE25'!L290+'DOE25'!L309+'DOE25'!L328+'DOE25'!L333+'DOE25'!L334+'DOE25'!L335-F31-G31</f>
        <v>864216.58000000007</v>
      </c>
      <c r="E31" s="243"/>
      <c r="F31" s="255">
        <f>'DOE25'!J290+'DOE25'!J309+'DOE25'!J328+'DOE25'!J333+'DOE25'!J334+'DOE25'!J335</f>
        <v>55113.48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20354131.870000005</v>
      </c>
      <c r="E33" s="246">
        <f>SUM(E5:E31)</f>
        <v>700015.6</v>
      </c>
      <c r="F33" s="246">
        <f>SUM(F5:F31)</f>
        <v>176878.76</v>
      </c>
      <c r="G33" s="246">
        <f>SUM(G5:G31)</f>
        <v>64742.979999999996</v>
      </c>
      <c r="H33" s="246">
        <f>SUM(H5:H31)</f>
        <v>1032972.6699999999</v>
      </c>
    </row>
    <row r="35" spans="2:8" ht="12" thickBot="1" x14ac:dyDescent="0.25">
      <c r="B35" s="253" t="s">
        <v>847</v>
      </c>
      <c r="D35" s="254">
        <f>E33</f>
        <v>700015.6</v>
      </c>
      <c r="E35" s="249"/>
    </row>
    <row r="36" spans="2:8" ht="12" thickTop="1" x14ac:dyDescent="0.2">
      <c r="B36" t="s">
        <v>815</v>
      </c>
      <c r="D36" s="20">
        <f>D33</f>
        <v>20354131.870000005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3" sqref="A3:G5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RAYMOND SCHOOL DISTYRICT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1239807.67</v>
      </c>
      <c r="D8" s="95">
        <f>'DOE25'!G9</f>
        <v>100</v>
      </c>
      <c r="E8" s="95">
        <f>'DOE25'!H9</f>
        <v>0</v>
      </c>
      <c r="F8" s="95">
        <f>'DOE25'!I9</f>
        <v>40580.58</v>
      </c>
      <c r="G8" s="95">
        <f>'DOE25'!J9</f>
        <v>648151.57999999996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9359.82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45508.99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16136.84</v>
      </c>
      <c r="E12" s="95">
        <f>'DOE25'!H13</f>
        <v>105896.78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8366.83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1303043.31</v>
      </c>
      <c r="D18" s="41">
        <f>SUM(D8:D17)</f>
        <v>16236.84</v>
      </c>
      <c r="E18" s="41">
        <f>SUM(E8:E17)</f>
        <v>105896.78</v>
      </c>
      <c r="F18" s="41">
        <f>SUM(F8:F17)</f>
        <v>40580.58</v>
      </c>
      <c r="G18" s="41">
        <f>SUM(G8:G17)</f>
        <v>648151.57999999996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6988.78</v>
      </c>
      <c r="E21" s="95">
        <f>'DOE25'!H22</f>
        <v>38520.21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580015.03</v>
      </c>
      <c r="D23" s="95">
        <f>'DOE25'!G24</f>
        <v>0</v>
      </c>
      <c r="E23" s="95" t="str">
        <f>'DOE25'!H24</f>
        <v xml:space="preserve"> 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107281.75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127552.36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8733.33</v>
      </c>
      <c r="E29" s="95">
        <f>'DOE25'!H30</f>
        <v>67376.570000000007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814849.14</v>
      </c>
      <c r="D31" s="41">
        <f>SUM(D21:D30)</f>
        <v>15722.11</v>
      </c>
      <c r="E31" s="41">
        <f>SUM(E21:E30)</f>
        <v>105896.78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514.73</v>
      </c>
      <c r="E42" s="95">
        <f>'DOE25'!H43</f>
        <v>0</v>
      </c>
      <c r="F42" s="95">
        <f>'DOE25'!I43</f>
        <v>40580.58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75000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648151.57999999996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39614.75</v>
      </c>
      <c r="D48" s="95">
        <f>'DOE25'!G49</f>
        <v>0</v>
      </c>
      <c r="E48" s="95" t="str">
        <f>'DOE25'!H49</f>
        <v xml:space="preserve"> 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373579.42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488194.17</v>
      </c>
      <c r="D50" s="41">
        <f>SUM(D34:D49)</f>
        <v>514.73</v>
      </c>
      <c r="E50" s="41">
        <f>SUM(E34:E49)</f>
        <v>0</v>
      </c>
      <c r="F50" s="41">
        <f>SUM(F34:F49)</f>
        <v>40580.58</v>
      </c>
      <c r="G50" s="41">
        <f>SUM(G34:G49)</f>
        <v>648151.57999999996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1303043.31</v>
      </c>
      <c r="D51" s="41">
        <f>D50+D31</f>
        <v>16236.84</v>
      </c>
      <c r="E51" s="41">
        <f>E50+E31</f>
        <v>105896.78</v>
      </c>
      <c r="F51" s="41">
        <f>F50+F31</f>
        <v>40580.58</v>
      </c>
      <c r="G51" s="41">
        <f>G50+G31</f>
        <v>648151.57999999996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12127318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61951.679999999993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157.11000000000001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2302.09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277639.94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331377.04000000004</v>
      </c>
      <c r="D61" s="95">
        <f>SUM('DOE25'!G98:G110)</f>
        <v>18815.29</v>
      </c>
      <c r="E61" s="95">
        <f>SUM('DOE25'!H98:H110)</f>
        <v>4724.7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393485.83</v>
      </c>
      <c r="D62" s="130">
        <f>SUM(D57:D61)</f>
        <v>296455.23</v>
      </c>
      <c r="E62" s="130">
        <f>SUM(E57:E61)</f>
        <v>4724.7</v>
      </c>
      <c r="F62" s="130">
        <f>SUM(F57:F61)</f>
        <v>0</v>
      </c>
      <c r="G62" s="130">
        <f>SUM(G57:G61)</f>
        <v>2302.09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12520803.83</v>
      </c>
      <c r="D63" s="22">
        <f>D56+D62</f>
        <v>296455.23</v>
      </c>
      <c r="E63" s="22">
        <f>E56+E62</f>
        <v>4724.7</v>
      </c>
      <c r="F63" s="22">
        <f>F56+F62</f>
        <v>0</v>
      </c>
      <c r="G63" s="22">
        <f>G56+G62</f>
        <v>2302.09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5675023.2599999998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1926272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7601295.2599999998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412434.67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363863.61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27465.200000000001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6474.01</v>
      </c>
      <c r="D77" s="95">
        <f>SUM('DOE25'!G131:G135)</f>
        <v>6226.66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810237.49</v>
      </c>
      <c r="D78" s="130">
        <f>SUM(D72:D77)</f>
        <v>6226.66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8411532.75</v>
      </c>
      <c r="D81" s="130">
        <f>SUM(D79:D80)+D78+D70</f>
        <v>6226.66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259520.63</v>
      </c>
      <c r="D88" s="95">
        <f>SUM('DOE25'!G153:G161)</f>
        <v>218046.25</v>
      </c>
      <c r="E88" s="95">
        <f>SUM('DOE25'!H153:H161)</f>
        <v>944836.52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259520.63</v>
      </c>
      <c r="D91" s="131">
        <f>SUM(D85:D90)</f>
        <v>218046.25</v>
      </c>
      <c r="E91" s="131">
        <f>SUM(E85:E90)</f>
        <v>944836.52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1220861.3599999999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214000</v>
      </c>
    </row>
    <row r="97" spans="1:7" x14ac:dyDescent="0.2">
      <c r="A97" t="s">
        <v>758</v>
      </c>
      <c r="B97" s="32" t="s">
        <v>188</v>
      </c>
      <c r="C97" s="95">
        <f>SUM('DOE25'!F180:F181)</f>
        <v>30231.16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30231.16</v>
      </c>
      <c r="D103" s="86">
        <f>SUM(D93:D102)</f>
        <v>0</v>
      </c>
      <c r="E103" s="86">
        <f>SUM(E93:E102)</f>
        <v>0</v>
      </c>
      <c r="F103" s="86">
        <f>SUM(F93:F102)</f>
        <v>1220861.3599999999</v>
      </c>
      <c r="G103" s="86">
        <f>SUM(G93:G102)</f>
        <v>214000</v>
      </c>
    </row>
    <row r="104" spans="1:7" ht="12.75" thickTop="1" thickBot="1" x14ac:dyDescent="0.25">
      <c r="A104" s="33" t="s">
        <v>765</v>
      </c>
      <c r="C104" s="86">
        <f>C63+C81+C91+C103</f>
        <v>21222088.369999997</v>
      </c>
      <c r="D104" s="86">
        <f>D63+D81+D91+D103</f>
        <v>520728.13999999996</v>
      </c>
      <c r="E104" s="86">
        <f>E63+E81+E91+E103</f>
        <v>949561.22</v>
      </c>
      <c r="F104" s="86">
        <f>F63+F81+F91+F103</f>
        <v>1220861.3599999999</v>
      </c>
      <c r="G104" s="86">
        <f>G63+G81+G103</f>
        <v>216302.09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8090026.4399999995</v>
      </c>
      <c r="D109" s="24" t="s">
        <v>289</v>
      </c>
      <c r="E109" s="95">
        <f>('DOE25'!L276)+('DOE25'!L295)+('DOE25'!L314)</f>
        <v>313691.65000000002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4632348.83</v>
      </c>
      <c r="D110" s="24" t="s">
        <v>289</v>
      </c>
      <c r="E110" s="95">
        <f>('DOE25'!L277)+('DOE25'!L296)+('DOE25'!L315)</f>
        <v>219514.03999999998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199718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259730.15</v>
      </c>
      <c r="D112" s="24" t="s">
        <v>289</v>
      </c>
      <c r="E112" s="95">
        <f>+('DOE25'!L279)+('DOE25'!L298)+('DOE25'!L317)</f>
        <v>196731.89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19095.22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13200918.640000001</v>
      </c>
      <c r="D115" s="86">
        <f>SUM(D109:D114)</f>
        <v>0</v>
      </c>
      <c r="E115" s="86">
        <f>SUM(E109:E114)</f>
        <v>729937.58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1454173.31</v>
      </c>
      <c r="D118" s="24" t="s">
        <v>289</v>
      </c>
      <c r="E118" s="95">
        <f>+('DOE25'!L281)+('DOE25'!L300)+('DOE25'!L319)</f>
        <v>126578.01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611304.51</v>
      </c>
      <c r="D119" s="24" t="s">
        <v>289</v>
      </c>
      <c r="E119" s="95">
        <f>+('DOE25'!L282)+('DOE25'!L301)+('DOE25'!L320)</f>
        <v>62679.47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714206.12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1194644.8400000001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236259.19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1713429.29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894943.01</v>
      </c>
      <c r="D124" s="24" t="s">
        <v>289</v>
      </c>
      <c r="E124" s="95">
        <f>+('DOE25'!L287)+('DOE25'!L306)+('DOE25'!L325)</f>
        <v>110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2293.42</v>
      </c>
      <c r="D125" s="24" t="s">
        <v>289</v>
      </c>
      <c r="E125" s="95">
        <f>+('DOE25'!L288)+('DOE25'!L307)+('DOE25'!L326)</f>
        <v>25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520213.41000000003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6821253.6900000004</v>
      </c>
      <c r="D128" s="86">
        <f>SUM(D118:D127)</f>
        <v>520213.41000000003</v>
      </c>
      <c r="E128" s="86">
        <f>SUM(E118:E127)</f>
        <v>189392.47999999998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1180280.78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675662.46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357310.21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30231.16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215996.7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305.39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-2302.0900000000256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1246972.6699999997</v>
      </c>
      <c r="D144" s="141">
        <f>SUM(D130:D143)</f>
        <v>0</v>
      </c>
      <c r="E144" s="141">
        <f>SUM(E130:E143)</f>
        <v>30231.16</v>
      </c>
      <c r="F144" s="141">
        <f>SUM(F130:F143)</f>
        <v>1180280.78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21269145</v>
      </c>
      <c r="D145" s="86">
        <f>(D115+D128+D144)</f>
        <v>520213.41000000003</v>
      </c>
      <c r="E145" s="86">
        <f>(E115+E128+E144)</f>
        <v>949561.22</v>
      </c>
      <c r="F145" s="86">
        <f>(F115+F128+F144)</f>
        <v>1180280.78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10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8/05</v>
      </c>
      <c r="C152" s="152" t="str">
        <f>'DOE25'!G491</f>
        <v>8/14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8/25</v>
      </c>
      <c r="C153" s="152" t="str">
        <f>'DOE25'!G492</f>
        <v>8/24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13402490</v>
      </c>
      <c r="C154" s="137">
        <f>'DOE25'!G493</f>
        <v>1060000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4.13</v>
      </c>
      <c r="C155" s="137">
        <f>'DOE25'!G494</f>
        <v>5.0999999999999996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6415439.4100000001</v>
      </c>
      <c r="C156" s="137">
        <f>'DOE25'!G495</f>
        <v>1060000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7475439.4100000001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675662.46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675662.46</v>
      </c>
    </row>
    <row r="159" spans="1:9" x14ac:dyDescent="0.2">
      <c r="A159" s="22" t="s">
        <v>35</v>
      </c>
      <c r="B159" s="137">
        <f>'DOE25'!F498</f>
        <v>5739776.9500000002</v>
      </c>
      <c r="C159" s="137">
        <f>'DOE25'!G498</f>
        <v>1060000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6799776.9500000002</v>
      </c>
    </row>
    <row r="160" spans="1:9" x14ac:dyDescent="0.2">
      <c r="A160" s="22" t="s">
        <v>36</v>
      </c>
      <c r="B160" s="137">
        <f>'DOE25'!F499</f>
        <v>5036627.05</v>
      </c>
      <c r="C160" s="137">
        <f>'DOE25'!G499</f>
        <v>268260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5304887.05</v>
      </c>
    </row>
    <row r="161" spans="1:7" x14ac:dyDescent="0.2">
      <c r="A161" s="22" t="s">
        <v>37</v>
      </c>
      <c r="B161" s="137">
        <f>'DOE25'!F500</f>
        <v>10776404</v>
      </c>
      <c r="C161" s="137">
        <f>'DOE25'!G500</f>
        <v>1328260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12104664</v>
      </c>
    </row>
    <row r="162" spans="1:7" x14ac:dyDescent="0.2">
      <c r="A162" s="22" t="s">
        <v>38</v>
      </c>
      <c r="B162" s="137">
        <f>'DOE25'!F501</f>
        <v>648949.20000000007</v>
      </c>
      <c r="C162" s="137">
        <f>'DOE25'!G501</f>
        <v>110000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758949.20000000007</v>
      </c>
    </row>
    <row r="163" spans="1:7" x14ac:dyDescent="0.2">
      <c r="A163" s="22" t="s">
        <v>39</v>
      </c>
      <c r="B163" s="137">
        <f>'DOE25'!F502</f>
        <v>356663.80000000005</v>
      </c>
      <c r="C163" s="137">
        <f>'DOE25'!G502</f>
        <v>51255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407918.80000000005</v>
      </c>
    </row>
    <row r="164" spans="1:7" x14ac:dyDescent="0.2">
      <c r="A164" s="22" t="s">
        <v>246</v>
      </c>
      <c r="B164" s="137">
        <f>'DOE25'!F503</f>
        <v>1005613.0000000001</v>
      </c>
      <c r="C164" s="137">
        <f>'DOE25'!G503</f>
        <v>161255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1166868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4" t="s">
        <v>740</v>
      </c>
      <c r="B1" s="284"/>
      <c r="C1" s="284"/>
      <c r="D1" s="284"/>
    </row>
    <row r="2" spans="1:4" x14ac:dyDescent="0.2">
      <c r="A2" s="187" t="s">
        <v>717</v>
      </c>
      <c r="B2" s="186" t="str">
        <f>'DOE25'!A2</f>
        <v>RAYMOND SCHOOL DISTYRICT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13337</v>
      </c>
    </row>
    <row r="5" spans="1:4" x14ac:dyDescent="0.2">
      <c r="B5" t="s">
        <v>704</v>
      </c>
      <c r="C5" s="179">
        <f>IF('DOE25'!G665+'DOE25'!G670=0,0,ROUND('DOE25'!G672,0))</f>
        <v>14624</v>
      </c>
    </row>
    <row r="6" spans="1:4" x14ac:dyDescent="0.2">
      <c r="B6" t="s">
        <v>62</v>
      </c>
      <c r="C6" s="179">
        <f>IF('DOE25'!H665+'DOE25'!H670=0,0,ROUND('DOE25'!H672,0))</f>
        <v>14498</v>
      </c>
    </row>
    <row r="7" spans="1:4" x14ac:dyDescent="0.2">
      <c r="B7" t="s">
        <v>705</v>
      </c>
      <c r="C7" s="179">
        <f>IF('DOE25'!I665+'DOE25'!I670=0,0,ROUND('DOE25'!I672,0))</f>
        <v>14107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8403718</v>
      </c>
      <c r="D10" s="182">
        <f>ROUND((C10/$C$28)*100,1)</f>
        <v>39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4851863</v>
      </c>
      <c r="D11" s="182">
        <f>ROUND((C11/$C$28)*100,1)</f>
        <v>22.5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199718</v>
      </c>
      <c r="D12" s="182">
        <f>ROUND((C12/$C$28)*100,1)</f>
        <v>0.9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456462</v>
      </c>
      <c r="D13" s="182">
        <f>ROUND((C13/$C$28)*100,1)</f>
        <v>2.1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1580751</v>
      </c>
      <c r="D15" s="182">
        <f t="shared" ref="D15:D27" si="0">ROUND((C15/$C$28)*100,1)</f>
        <v>7.3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673984</v>
      </c>
      <c r="D16" s="182">
        <f t="shared" si="0"/>
        <v>3.1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716525</v>
      </c>
      <c r="D17" s="182">
        <f t="shared" si="0"/>
        <v>3.3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1194645</v>
      </c>
      <c r="D18" s="182">
        <f t="shared" si="0"/>
        <v>5.6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236259</v>
      </c>
      <c r="D19" s="182">
        <f t="shared" si="0"/>
        <v>1.1000000000000001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1713429</v>
      </c>
      <c r="D20" s="182">
        <f t="shared" si="0"/>
        <v>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895053</v>
      </c>
      <c r="D21" s="182">
        <f t="shared" si="0"/>
        <v>4.2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19095</v>
      </c>
      <c r="D24" s="182">
        <f t="shared" si="0"/>
        <v>0.1</v>
      </c>
    </row>
    <row r="25" spans="1:4" x14ac:dyDescent="0.2">
      <c r="A25">
        <v>5120</v>
      </c>
      <c r="B25" t="s">
        <v>720</v>
      </c>
      <c r="C25" s="179">
        <f>ROUND('DOE25'!L261+'DOE25'!L342,0)</f>
        <v>357310</v>
      </c>
      <c r="D25" s="182">
        <f t="shared" si="0"/>
        <v>1.7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223757.77000000002</v>
      </c>
      <c r="D27" s="182">
        <f t="shared" si="0"/>
        <v>1</v>
      </c>
    </row>
    <row r="28" spans="1:4" x14ac:dyDescent="0.2">
      <c r="B28" s="187" t="s">
        <v>723</v>
      </c>
      <c r="C28" s="180">
        <f>SUM(C10:C27)</f>
        <v>21522569.77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1180281</v>
      </c>
    </row>
    <row r="30" spans="1:4" x14ac:dyDescent="0.2">
      <c r="B30" s="187" t="s">
        <v>729</v>
      </c>
      <c r="C30" s="180">
        <f>SUM(C28:C29)</f>
        <v>22702850.77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675662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12127318</v>
      </c>
      <c r="D35" s="182">
        <f t="shared" ref="D35:D40" si="1">ROUND((C35/$C$41)*100,1)</f>
        <v>53.8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561373.97999999858</v>
      </c>
      <c r="D36" s="182">
        <f t="shared" si="1"/>
        <v>2.5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7601295</v>
      </c>
      <c r="D37" s="182">
        <f t="shared" si="1"/>
        <v>33.700000000000003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816464</v>
      </c>
      <c r="D38" s="182">
        <f t="shared" si="1"/>
        <v>3.6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1422403</v>
      </c>
      <c r="D39" s="182">
        <f t="shared" si="1"/>
        <v>6.3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22528853.979999997</v>
      </c>
      <c r="D41" s="184">
        <f>SUM(D35:D40)</f>
        <v>99.899999999999991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1060000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25" sqref="C25:M2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5" t="s">
        <v>770</v>
      </c>
      <c r="B1" s="296"/>
      <c r="C1" s="296"/>
      <c r="D1" s="296"/>
      <c r="E1" s="296"/>
      <c r="F1" s="296"/>
      <c r="G1" s="296"/>
      <c r="H1" s="296"/>
      <c r="I1" s="296"/>
      <c r="J1" s="213"/>
      <c r="K1" s="213"/>
      <c r="L1" s="213"/>
      <c r="M1" s="214"/>
    </row>
    <row r="2" spans="1:26" ht="12.75" x14ac:dyDescent="0.2">
      <c r="A2" s="301" t="s">
        <v>767</v>
      </c>
      <c r="B2" s="302"/>
      <c r="C2" s="302"/>
      <c r="D2" s="302"/>
      <c r="E2" s="302"/>
      <c r="F2" s="299" t="str">
        <f>'DOE25'!A2</f>
        <v>RAYMOND SCHOOL DISTYRICT</v>
      </c>
      <c r="G2" s="300"/>
      <c r="H2" s="300"/>
      <c r="I2" s="300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7" t="s">
        <v>771</v>
      </c>
      <c r="D3" s="297"/>
      <c r="E3" s="297"/>
      <c r="F3" s="297"/>
      <c r="G3" s="297"/>
      <c r="H3" s="297"/>
      <c r="I3" s="297"/>
      <c r="J3" s="297"/>
      <c r="K3" s="297"/>
      <c r="L3" s="297"/>
      <c r="M3" s="298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>
        <v>3</v>
      </c>
      <c r="B5" s="219">
        <v>24</v>
      </c>
      <c r="C5" s="286" t="s">
        <v>918</v>
      </c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 t="s">
        <v>917</v>
      </c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 t="s">
        <v>921</v>
      </c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 t="s">
        <v>922</v>
      </c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>
        <v>4</v>
      </c>
      <c r="B10" s="219">
        <v>18</v>
      </c>
      <c r="C10" s="286" t="s">
        <v>923</v>
      </c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 t="s">
        <v>287</v>
      </c>
      <c r="B11" s="219" t="s">
        <v>287</v>
      </c>
      <c r="C11" s="286" t="s">
        <v>287</v>
      </c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>
        <v>6</v>
      </c>
      <c r="B12" s="219">
        <v>8</v>
      </c>
      <c r="C12" s="286" t="s">
        <v>919</v>
      </c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74"/>
      <c r="D13" s="274"/>
      <c r="E13" s="274"/>
      <c r="F13" s="274"/>
      <c r="G13" s="274"/>
      <c r="H13" s="274"/>
      <c r="I13" s="274"/>
      <c r="J13" s="274"/>
      <c r="K13" s="274"/>
      <c r="L13" s="274"/>
      <c r="M13" s="27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>
        <v>14</v>
      </c>
      <c r="B14" s="219">
        <v>10</v>
      </c>
      <c r="C14" s="274" t="s">
        <v>920</v>
      </c>
      <c r="D14" s="274"/>
      <c r="E14" s="274"/>
      <c r="F14" s="274"/>
      <c r="G14" s="274"/>
      <c r="H14" s="274"/>
      <c r="I14" s="274"/>
      <c r="J14" s="274"/>
      <c r="K14" s="274"/>
      <c r="L14" s="274"/>
      <c r="M14" s="27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>
        <v>17</v>
      </c>
      <c r="B16" s="219">
        <v>13</v>
      </c>
      <c r="C16" s="286" t="s">
        <v>925</v>
      </c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 t="s">
        <v>924</v>
      </c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>
        <v>23</v>
      </c>
      <c r="B19" s="219">
        <v>6</v>
      </c>
      <c r="C19" s="286" t="s">
        <v>926</v>
      </c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>
        <v>23</v>
      </c>
      <c r="B21" s="219">
        <v>7</v>
      </c>
      <c r="C21" s="286" t="s">
        <v>927</v>
      </c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92"/>
      <c r="Q29" s="292"/>
      <c r="R29" s="292"/>
      <c r="S29" s="292"/>
      <c r="T29" s="292"/>
      <c r="U29" s="292"/>
      <c r="V29" s="292"/>
      <c r="W29" s="292"/>
      <c r="X29" s="292"/>
      <c r="Y29" s="292"/>
      <c r="Z29" s="292"/>
      <c r="AA29" s="207"/>
      <c r="AB29" s="207"/>
      <c r="AC29" s="291"/>
      <c r="AD29" s="291"/>
      <c r="AE29" s="291"/>
      <c r="AF29" s="291"/>
      <c r="AG29" s="291"/>
      <c r="AH29" s="291"/>
      <c r="AI29" s="291"/>
      <c r="AJ29" s="291"/>
      <c r="AK29" s="291"/>
      <c r="AL29" s="291"/>
      <c r="AM29" s="291"/>
      <c r="AN29" s="207"/>
      <c r="AO29" s="207"/>
      <c r="AP29" s="291"/>
      <c r="AQ29" s="291"/>
      <c r="AR29" s="291"/>
      <c r="AS29" s="291"/>
      <c r="AT29" s="291"/>
      <c r="AU29" s="291"/>
      <c r="AV29" s="291"/>
      <c r="AW29" s="291"/>
      <c r="AX29" s="291"/>
      <c r="AY29" s="291"/>
      <c r="AZ29" s="291"/>
      <c r="BA29" s="207"/>
      <c r="BB29" s="207"/>
      <c r="BC29" s="291"/>
      <c r="BD29" s="291"/>
      <c r="BE29" s="291"/>
      <c r="BF29" s="291"/>
      <c r="BG29" s="291"/>
      <c r="BH29" s="291"/>
      <c r="BI29" s="291"/>
      <c r="BJ29" s="291"/>
      <c r="BK29" s="291"/>
      <c r="BL29" s="291"/>
      <c r="BM29" s="291"/>
      <c r="BN29" s="207"/>
      <c r="BO29" s="207"/>
      <c r="BP29" s="291"/>
      <c r="BQ29" s="291"/>
      <c r="BR29" s="291"/>
      <c r="BS29" s="291"/>
      <c r="BT29" s="291"/>
      <c r="BU29" s="291"/>
      <c r="BV29" s="291"/>
      <c r="BW29" s="291"/>
      <c r="BX29" s="291"/>
      <c r="BY29" s="291"/>
      <c r="BZ29" s="291"/>
      <c r="CA29" s="207"/>
      <c r="CB29" s="207"/>
      <c r="CC29" s="291"/>
      <c r="CD29" s="291"/>
      <c r="CE29" s="291"/>
      <c r="CF29" s="291"/>
      <c r="CG29" s="291"/>
      <c r="CH29" s="291"/>
      <c r="CI29" s="291"/>
      <c r="CJ29" s="291"/>
      <c r="CK29" s="291"/>
      <c r="CL29" s="291"/>
      <c r="CM29" s="291"/>
      <c r="CN29" s="207"/>
      <c r="CO29" s="207"/>
      <c r="CP29" s="291"/>
      <c r="CQ29" s="291"/>
      <c r="CR29" s="291"/>
      <c r="CS29" s="291"/>
      <c r="CT29" s="291"/>
      <c r="CU29" s="291"/>
      <c r="CV29" s="291"/>
      <c r="CW29" s="291"/>
      <c r="CX29" s="291"/>
      <c r="CY29" s="291"/>
      <c r="CZ29" s="291"/>
      <c r="DA29" s="207"/>
      <c r="DB29" s="207"/>
      <c r="DC29" s="291"/>
      <c r="DD29" s="291"/>
      <c r="DE29" s="291"/>
      <c r="DF29" s="291"/>
      <c r="DG29" s="291"/>
      <c r="DH29" s="291"/>
      <c r="DI29" s="291"/>
      <c r="DJ29" s="291"/>
      <c r="DK29" s="291"/>
      <c r="DL29" s="291"/>
      <c r="DM29" s="291"/>
      <c r="DN29" s="207"/>
      <c r="DO29" s="207"/>
      <c r="DP29" s="291"/>
      <c r="DQ29" s="291"/>
      <c r="DR29" s="291"/>
      <c r="DS29" s="291"/>
      <c r="DT29" s="291"/>
      <c r="DU29" s="291"/>
      <c r="DV29" s="291"/>
      <c r="DW29" s="291"/>
      <c r="DX29" s="291"/>
      <c r="DY29" s="291"/>
      <c r="DZ29" s="291"/>
      <c r="EA29" s="207"/>
      <c r="EB29" s="207"/>
      <c r="EC29" s="291"/>
      <c r="ED29" s="291"/>
      <c r="EE29" s="291"/>
      <c r="EF29" s="291"/>
      <c r="EG29" s="291"/>
      <c r="EH29" s="291"/>
      <c r="EI29" s="291"/>
      <c r="EJ29" s="291"/>
      <c r="EK29" s="291"/>
      <c r="EL29" s="291"/>
      <c r="EM29" s="291"/>
      <c r="EN29" s="207"/>
      <c r="EO29" s="207"/>
      <c r="EP29" s="291"/>
      <c r="EQ29" s="291"/>
      <c r="ER29" s="291"/>
      <c r="ES29" s="291"/>
      <c r="ET29" s="291"/>
      <c r="EU29" s="291"/>
      <c r="EV29" s="291"/>
      <c r="EW29" s="291"/>
      <c r="EX29" s="291"/>
      <c r="EY29" s="291"/>
      <c r="EZ29" s="291"/>
      <c r="FA29" s="207"/>
      <c r="FB29" s="207"/>
      <c r="FC29" s="291"/>
      <c r="FD29" s="291"/>
      <c r="FE29" s="291"/>
      <c r="FF29" s="291"/>
      <c r="FG29" s="291"/>
      <c r="FH29" s="291"/>
      <c r="FI29" s="291"/>
      <c r="FJ29" s="291"/>
      <c r="FK29" s="291"/>
      <c r="FL29" s="291"/>
      <c r="FM29" s="291"/>
      <c r="FN29" s="207"/>
      <c r="FO29" s="207"/>
      <c r="FP29" s="291"/>
      <c r="FQ29" s="291"/>
      <c r="FR29" s="291"/>
      <c r="FS29" s="291"/>
      <c r="FT29" s="291"/>
      <c r="FU29" s="291"/>
      <c r="FV29" s="291"/>
      <c r="FW29" s="291"/>
      <c r="FX29" s="291"/>
      <c r="FY29" s="291"/>
      <c r="FZ29" s="291"/>
      <c r="GA29" s="207"/>
      <c r="GB29" s="207"/>
      <c r="GC29" s="291"/>
      <c r="GD29" s="291"/>
      <c r="GE29" s="291"/>
      <c r="GF29" s="291"/>
      <c r="GG29" s="291"/>
      <c r="GH29" s="291"/>
      <c r="GI29" s="291"/>
      <c r="GJ29" s="291"/>
      <c r="GK29" s="291"/>
      <c r="GL29" s="291"/>
      <c r="GM29" s="291"/>
      <c r="GN29" s="207"/>
      <c r="GO29" s="207"/>
      <c r="GP29" s="291"/>
      <c r="GQ29" s="291"/>
      <c r="GR29" s="291"/>
      <c r="GS29" s="291"/>
      <c r="GT29" s="291"/>
      <c r="GU29" s="291"/>
      <c r="GV29" s="291"/>
      <c r="GW29" s="291"/>
      <c r="GX29" s="291"/>
      <c r="GY29" s="291"/>
      <c r="GZ29" s="291"/>
      <c r="HA29" s="207"/>
      <c r="HB29" s="207"/>
      <c r="HC29" s="291"/>
      <c r="HD29" s="291"/>
      <c r="HE29" s="291"/>
      <c r="HF29" s="291"/>
      <c r="HG29" s="291"/>
      <c r="HH29" s="291"/>
      <c r="HI29" s="291"/>
      <c r="HJ29" s="291"/>
      <c r="HK29" s="291"/>
      <c r="HL29" s="291"/>
      <c r="HM29" s="291"/>
      <c r="HN29" s="207"/>
      <c r="HO29" s="207"/>
      <c r="HP29" s="291"/>
      <c r="HQ29" s="291"/>
      <c r="HR29" s="291"/>
      <c r="HS29" s="291"/>
      <c r="HT29" s="291"/>
      <c r="HU29" s="291"/>
      <c r="HV29" s="291"/>
      <c r="HW29" s="291"/>
      <c r="HX29" s="291"/>
      <c r="HY29" s="291"/>
      <c r="HZ29" s="291"/>
      <c r="IA29" s="207"/>
      <c r="IB29" s="207"/>
      <c r="IC29" s="291"/>
      <c r="ID29" s="291"/>
      <c r="IE29" s="291"/>
      <c r="IF29" s="291"/>
      <c r="IG29" s="291"/>
      <c r="IH29" s="291"/>
      <c r="II29" s="291"/>
      <c r="IJ29" s="291"/>
      <c r="IK29" s="291"/>
      <c r="IL29" s="291"/>
      <c r="IM29" s="291"/>
      <c r="IN29" s="207"/>
      <c r="IO29" s="207"/>
      <c r="IP29" s="291"/>
      <c r="IQ29" s="291"/>
      <c r="IR29" s="291"/>
      <c r="IS29" s="291"/>
      <c r="IT29" s="291"/>
      <c r="IU29" s="291"/>
      <c r="IV29" s="291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92"/>
      <c r="Q30" s="292"/>
      <c r="R30" s="292"/>
      <c r="S30" s="292"/>
      <c r="T30" s="292"/>
      <c r="U30" s="292"/>
      <c r="V30" s="292"/>
      <c r="W30" s="292"/>
      <c r="X30" s="292"/>
      <c r="Y30" s="292"/>
      <c r="Z30" s="292"/>
      <c r="AA30" s="207"/>
      <c r="AB30" s="207"/>
      <c r="AC30" s="291"/>
      <c r="AD30" s="291"/>
      <c r="AE30" s="291"/>
      <c r="AF30" s="291"/>
      <c r="AG30" s="291"/>
      <c r="AH30" s="291"/>
      <c r="AI30" s="291"/>
      <c r="AJ30" s="291"/>
      <c r="AK30" s="291"/>
      <c r="AL30" s="291"/>
      <c r="AM30" s="291"/>
      <c r="AN30" s="207"/>
      <c r="AO30" s="207"/>
      <c r="AP30" s="291"/>
      <c r="AQ30" s="291"/>
      <c r="AR30" s="291"/>
      <c r="AS30" s="291"/>
      <c r="AT30" s="291"/>
      <c r="AU30" s="291"/>
      <c r="AV30" s="291"/>
      <c r="AW30" s="291"/>
      <c r="AX30" s="291"/>
      <c r="AY30" s="291"/>
      <c r="AZ30" s="291"/>
      <c r="BA30" s="207"/>
      <c r="BB30" s="207"/>
      <c r="BC30" s="291"/>
      <c r="BD30" s="291"/>
      <c r="BE30" s="291"/>
      <c r="BF30" s="291"/>
      <c r="BG30" s="291"/>
      <c r="BH30" s="291"/>
      <c r="BI30" s="291"/>
      <c r="BJ30" s="291"/>
      <c r="BK30" s="291"/>
      <c r="BL30" s="291"/>
      <c r="BM30" s="291"/>
      <c r="BN30" s="207"/>
      <c r="BO30" s="207"/>
      <c r="BP30" s="291"/>
      <c r="BQ30" s="291"/>
      <c r="BR30" s="291"/>
      <c r="BS30" s="291"/>
      <c r="BT30" s="291"/>
      <c r="BU30" s="291"/>
      <c r="BV30" s="291"/>
      <c r="BW30" s="291"/>
      <c r="BX30" s="291"/>
      <c r="BY30" s="291"/>
      <c r="BZ30" s="291"/>
      <c r="CA30" s="207"/>
      <c r="CB30" s="207"/>
      <c r="CC30" s="291"/>
      <c r="CD30" s="291"/>
      <c r="CE30" s="291"/>
      <c r="CF30" s="291"/>
      <c r="CG30" s="291"/>
      <c r="CH30" s="291"/>
      <c r="CI30" s="291"/>
      <c r="CJ30" s="291"/>
      <c r="CK30" s="291"/>
      <c r="CL30" s="291"/>
      <c r="CM30" s="291"/>
      <c r="CN30" s="207"/>
      <c r="CO30" s="207"/>
      <c r="CP30" s="291"/>
      <c r="CQ30" s="291"/>
      <c r="CR30" s="291"/>
      <c r="CS30" s="291"/>
      <c r="CT30" s="291"/>
      <c r="CU30" s="291"/>
      <c r="CV30" s="291"/>
      <c r="CW30" s="291"/>
      <c r="CX30" s="291"/>
      <c r="CY30" s="291"/>
      <c r="CZ30" s="291"/>
      <c r="DA30" s="207"/>
      <c r="DB30" s="207"/>
      <c r="DC30" s="291"/>
      <c r="DD30" s="291"/>
      <c r="DE30" s="291"/>
      <c r="DF30" s="291"/>
      <c r="DG30" s="291"/>
      <c r="DH30" s="291"/>
      <c r="DI30" s="291"/>
      <c r="DJ30" s="291"/>
      <c r="DK30" s="291"/>
      <c r="DL30" s="291"/>
      <c r="DM30" s="291"/>
      <c r="DN30" s="207"/>
      <c r="DO30" s="207"/>
      <c r="DP30" s="291"/>
      <c r="DQ30" s="291"/>
      <c r="DR30" s="291"/>
      <c r="DS30" s="291"/>
      <c r="DT30" s="291"/>
      <c r="DU30" s="291"/>
      <c r="DV30" s="291"/>
      <c r="DW30" s="291"/>
      <c r="DX30" s="291"/>
      <c r="DY30" s="291"/>
      <c r="DZ30" s="291"/>
      <c r="EA30" s="207"/>
      <c r="EB30" s="207"/>
      <c r="EC30" s="291"/>
      <c r="ED30" s="291"/>
      <c r="EE30" s="291"/>
      <c r="EF30" s="291"/>
      <c r="EG30" s="291"/>
      <c r="EH30" s="291"/>
      <c r="EI30" s="291"/>
      <c r="EJ30" s="291"/>
      <c r="EK30" s="291"/>
      <c r="EL30" s="291"/>
      <c r="EM30" s="291"/>
      <c r="EN30" s="207"/>
      <c r="EO30" s="207"/>
      <c r="EP30" s="291"/>
      <c r="EQ30" s="291"/>
      <c r="ER30" s="291"/>
      <c r="ES30" s="291"/>
      <c r="ET30" s="291"/>
      <c r="EU30" s="291"/>
      <c r="EV30" s="291"/>
      <c r="EW30" s="291"/>
      <c r="EX30" s="291"/>
      <c r="EY30" s="291"/>
      <c r="EZ30" s="291"/>
      <c r="FA30" s="207"/>
      <c r="FB30" s="207"/>
      <c r="FC30" s="291"/>
      <c r="FD30" s="291"/>
      <c r="FE30" s="291"/>
      <c r="FF30" s="291"/>
      <c r="FG30" s="291"/>
      <c r="FH30" s="291"/>
      <c r="FI30" s="291"/>
      <c r="FJ30" s="291"/>
      <c r="FK30" s="291"/>
      <c r="FL30" s="291"/>
      <c r="FM30" s="291"/>
      <c r="FN30" s="207"/>
      <c r="FO30" s="207"/>
      <c r="FP30" s="291"/>
      <c r="FQ30" s="291"/>
      <c r="FR30" s="291"/>
      <c r="FS30" s="291"/>
      <c r="FT30" s="291"/>
      <c r="FU30" s="291"/>
      <c r="FV30" s="291"/>
      <c r="FW30" s="291"/>
      <c r="FX30" s="291"/>
      <c r="FY30" s="291"/>
      <c r="FZ30" s="291"/>
      <c r="GA30" s="207"/>
      <c r="GB30" s="207"/>
      <c r="GC30" s="291"/>
      <c r="GD30" s="291"/>
      <c r="GE30" s="291"/>
      <c r="GF30" s="291"/>
      <c r="GG30" s="291"/>
      <c r="GH30" s="291"/>
      <c r="GI30" s="291"/>
      <c r="GJ30" s="291"/>
      <c r="GK30" s="291"/>
      <c r="GL30" s="291"/>
      <c r="GM30" s="291"/>
      <c r="GN30" s="207"/>
      <c r="GO30" s="207"/>
      <c r="GP30" s="291"/>
      <c r="GQ30" s="291"/>
      <c r="GR30" s="291"/>
      <c r="GS30" s="291"/>
      <c r="GT30" s="291"/>
      <c r="GU30" s="291"/>
      <c r="GV30" s="291"/>
      <c r="GW30" s="291"/>
      <c r="GX30" s="291"/>
      <c r="GY30" s="291"/>
      <c r="GZ30" s="291"/>
      <c r="HA30" s="207"/>
      <c r="HB30" s="207"/>
      <c r="HC30" s="291"/>
      <c r="HD30" s="291"/>
      <c r="HE30" s="291"/>
      <c r="HF30" s="291"/>
      <c r="HG30" s="291"/>
      <c r="HH30" s="291"/>
      <c r="HI30" s="291"/>
      <c r="HJ30" s="291"/>
      <c r="HK30" s="291"/>
      <c r="HL30" s="291"/>
      <c r="HM30" s="291"/>
      <c r="HN30" s="207"/>
      <c r="HO30" s="207"/>
      <c r="HP30" s="291"/>
      <c r="HQ30" s="291"/>
      <c r="HR30" s="291"/>
      <c r="HS30" s="291"/>
      <c r="HT30" s="291"/>
      <c r="HU30" s="291"/>
      <c r="HV30" s="291"/>
      <c r="HW30" s="291"/>
      <c r="HX30" s="291"/>
      <c r="HY30" s="291"/>
      <c r="HZ30" s="291"/>
      <c r="IA30" s="207"/>
      <c r="IB30" s="207"/>
      <c r="IC30" s="291"/>
      <c r="ID30" s="291"/>
      <c r="IE30" s="291"/>
      <c r="IF30" s="291"/>
      <c r="IG30" s="291"/>
      <c r="IH30" s="291"/>
      <c r="II30" s="291"/>
      <c r="IJ30" s="291"/>
      <c r="IK30" s="291"/>
      <c r="IL30" s="291"/>
      <c r="IM30" s="291"/>
      <c r="IN30" s="207"/>
      <c r="IO30" s="207"/>
      <c r="IP30" s="291"/>
      <c r="IQ30" s="291"/>
      <c r="IR30" s="291"/>
      <c r="IS30" s="291"/>
      <c r="IT30" s="291"/>
      <c r="IU30" s="291"/>
      <c r="IV30" s="291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92"/>
      <c r="Q31" s="292"/>
      <c r="R31" s="292"/>
      <c r="S31" s="292"/>
      <c r="T31" s="292"/>
      <c r="U31" s="292"/>
      <c r="V31" s="292"/>
      <c r="W31" s="292"/>
      <c r="X31" s="292"/>
      <c r="Y31" s="292"/>
      <c r="Z31" s="292"/>
      <c r="AA31" s="207"/>
      <c r="AB31" s="207"/>
      <c r="AC31" s="291"/>
      <c r="AD31" s="291"/>
      <c r="AE31" s="291"/>
      <c r="AF31" s="291"/>
      <c r="AG31" s="291"/>
      <c r="AH31" s="291"/>
      <c r="AI31" s="291"/>
      <c r="AJ31" s="291"/>
      <c r="AK31" s="291"/>
      <c r="AL31" s="291"/>
      <c r="AM31" s="291"/>
      <c r="AN31" s="207"/>
      <c r="AO31" s="207"/>
      <c r="AP31" s="291"/>
      <c r="AQ31" s="291"/>
      <c r="AR31" s="291"/>
      <c r="AS31" s="291"/>
      <c r="AT31" s="291"/>
      <c r="AU31" s="291"/>
      <c r="AV31" s="291"/>
      <c r="AW31" s="291"/>
      <c r="AX31" s="291"/>
      <c r="AY31" s="291"/>
      <c r="AZ31" s="291"/>
      <c r="BA31" s="207"/>
      <c r="BB31" s="207"/>
      <c r="BC31" s="291"/>
      <c r="BD31" s="291"/>
      <c r="BE31" s="291"/>
      <c r="BF31" s="291"/>
      <c r="BG31" s="291"/>
      <c r="BH31" s="291"/>
      <c r="BI31" s="291"/>
      <c r="BJ31" s="291"/>
      <c r="BK31" s="291"/>
      <c r="BL31" s="291"/>
      <c r="BM31" s="291"/>
      <c r="BN31" s="207"/>
      <c r="BO31" s="207"/>
      <c r="BP31" s="291"/>
      <c r="BQ31" s="291"/>
      <c r="BR31" s="291"/>
      <c r="BS31" s="291"/>
      <c r="BT31" s="291"/>
      <c r="BU31" s="291"/>
      <c r="BV31" s="291"/>
      <c r="BW31" s="291"/>
      <c r="BX31" s="291"/>
      <c r="BY31" s="291"/>
      <c r="BZ31" s="291"/>
      <c r="CA31" s="207"/>
      <c r="CB31" s="207"/>
      <c r="CC31" s="291"/>
      <c r="CD31" s="291"/>
      <c r="CE31" s="291"/>
      <c r="CF31" s="291"/>
      <c r="CG31" s="291"/>
      <c r="CH31" s="291"/>
      <c r="CI31" s="291"/>
      <c r="CJ31" s="291"/>
      <c r="CK31" s="291"/>
      <c r="CL31" s="291"/>
      <c r="CM31" s="291"/>
      <c r="CN31" s="207"/>
      <c r="CO31" s="207"/>
      <c r="CP31" s="291"/>
      <c r="CQ31" s="291"/>
      <c r="CR31" s="291"/>
      <c r="CS31" s="291"/>
      <c r="CT31" s="291"/>
      <c r="CU31" s="291"/>
      <c r="CV31" s="291"/>
      <c r="CW31" s="291"/>
      <c r="CX31" s="291"/>
      <c r="CY31" s="291"/>
      <c r="CZ31" s="291"/>
      <c r="DA31" s="207"/>
      <c r="DB31" s="207"/>
      <c r="DC31" s="291"/>
      <c r="DD31" s="291"/>
      <c r="DE31" s="291"/>
      <c r="DF31" s="291"/>
      <c r="DG31" s="291"/>
      <c r="DH31" s="291"/>
      <c r="DI31" s="291"/>
      <c r="DJ31" s="291"/>
      <c r="DK31" s="291"/>
      <c r="DL31" s="291"/>
      <c r="DM31" s="291"/>
      <c r="DN31" s="207"/>
      <c r="DO31" s="207"/>
      <c r="DP31" s="291"/>
      <c r="DQ31" s="291"/>
      <c r="DR31" s="291"/>
      <c r="DS31" s="291"/>
      <c r="DT31" s="291"/>
      <c r="DU31" s="291"/>
      <c r="DV31" s="291"/>
      <c r="DW31" s="291"/>
      <c r="DX31" s="291"/>
      <c r="DY31" s="291"/>
      <c r="DZ31" s="291"/>
      <c r="EA31" s="207"/>
      <c r="EB31" s="207"/>
      <c r="EC31" s="291"/>
      <c r="ED31" s="291"/>
      <c r="EE31" s="291"/>
      <c r="EF31" s="291"/>
      <c r="EG31" s="291"/>
      <c r="EH31" s="291"/>
      <c r="EI31" s="291"/>
      <c r="EJ31" s="291"/>
      <c r="EK31" s="291"/>
      <c r="EL31" s="291"/>
      <c r="EM31" s="291"/>
      <c r="EN31" s="207"/>
      <c r="EO31" s="207"/>
      <c r="EP31" s="291"/>
      <c r="EQ31" s="291"/>
      <c r="ER31" s="291"/>
      <c r="ES31" s="291"/>
      <c r="ET31" s="291"/>
      <c r="EU31" s="291"/>
      <c r="EV31" s="291"/>
      <c r="EW31" s="291"/>
      <c r="EX31" s="291"/>
      <c r="EY31" s="291"/>
      <c r="EZ31" s="291"/>
      <c r="FA31" s="207"/>
      <c r="FB31" s="207"/>
      <c r="FC31" s="291"/>
      <c r="FD31" s="291"/>
      <c r="FE31" s="291"/>
      <c r="FF31" s="291"/>
      <c r="FG31" s="291"/>
      <c r="FH31" s="291"/>
      <c r="FI31" s="291"/>
      <c r="FJ31" s="291"/>
      <c r="FK31" s="291"/>
      <c r="FL31" s="291"/>
      <c r="FM31" s="291"/>
      <c r="FN31" s="207"/>
      <c r="FO31" s="207"/>
      <c r="FP31" s="291"/>
      <c r="FQ31" s="291"/>
      <c r="FR31" s="291"/>
      <c r="FS31" s="291"/>
      <c r="FT31" s="291"/>
      <c r="FU31" s="291"/>
      <c r="FV31" s="291"/>
      <c r="FW31" s="291"/>
      <c r="FX31" s="291"/>
      <c r="FY31" s="291"/>
      <c r="FZ31" s="291"/>
      <c r="GA31" s="207"/>
      <c r="GB31" s="207"/>
      <c r="GC31" s="291"/>
      <c r="GD31" s="291"/>
      <c r="GE31" s="291"/>
      <c r="GF31" s="291"/>
      <c r="GG31" s="291"/>
      <c r="GH31" s="291"/>
      <c r="GI31" s="291"/>
      <c r="GJ31" s="291"/>
      <c r="GK31" s="291"/>
      <c r="GL31" s="291"/>
      <c r="GM31" s="291"/>
      <c r="GN31" s="207"/>
      <c r="GO31" s="207"/>
      <c r="GP31" s="291"/>
      <c r="GQ31" s="291"/>
      <c r="GR31" s="291"/>
      <c r="GS31" s="291"/>
      <c r="GT31" s="291"/>
      <c r="GU31" s="291"/>
      <c r="GV31" s="291"/>
      <c r="GW31" s="291"/>
      <c r="GX31" s="291"/>
      <c r="GY31" s="291"/>
      <c r="GZ31" s="291"/>
      <c r="HA31" s="207"/>
      <c r="HB31" s="207"/>
      <c r="HC31" s="291"/>
      <c r="HD31" s="291"/>
      <c r="HE31" s="291"/>
      <c r="HF31" s="291"/>
      <c r="HG31" s="291"/>
      <c r="HH31" s="291"/>
      <c r="HI31" s="291"/>
      <c r="HJ31" s="291"/>
      <c r="HK31" s="291"/>
      <c r="HL31" s="291"/>
      <c r="HM31" s="291"/>
      <c r="HN31" s="207"/>
      <c r="HO31" s="207"/>
      <c r="HP31" s="291"/>
      <c r="HQ31" s="291"/>
      <c r="HR31" s="291"/>
      <c r="HS31" s="291"/>
      <c r="HT31" s="291"/>
      <c r="HU31" s="291"/>
      <c r="HV31" s="291"/>
      <c r="HW31" s="291"/>
      <c r="HX31" s="291"/>
      <c r="HY31" s="291"/>
      <c r="HZ31" s="291"/>
      <c r="IA31" s="207"/>
      <c r="IB31" s="207"/>
      <c r="IC31" s="291"/>
      <c r="ID31" s="291"/>
      <c r="IE31" s="291"/>
      <c r="IF31" s="291"/>
      <c r="IG31" s="291"/>
      <c r="IH31" s="291"/>
      <c r="II31" s="291"/>
      <c r="IJ31" s="291"/>
      <c r="IK31" s="291"/>
      <c r="IL31" s="291"/>
      <c r="IM31" s="291"/>
      <c r="IN31" s="207"/>
      <c r="IO31" s="207"/>
      <c r="IP31" s="291"/>
      <c r="IQ31" s="291"/>
      <c r="IR31" s="291"/>
      <c r="IS31" s="291"/>
      <c r="IT31" s="291"/>
      <c r="IU31" s="291"/>
      <c r="IV31" s="291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4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92"/>
      <c r="Q38" s="292"/>
      <c r="R38" s="292"/>
      <c r="S38" s="292"/>
      <c r="T38" s="292"/>
      <c r="U38" s="292"/>
      <c r="V38" s="292"/>
      <c r="W38" s="292"/>
      <c r="X38" s="292"/>
      <c r="Y38" s="292"/>
      <c r="Z38" s="292"/>
      <c r="AA38" s="207"/>
      <c r="AB38" s="207"/>
      <c r="AC38" s="291"/>
      <c r="AD38" s="291"/>
      <c r="AE38" s="291"/>
      <c r="AF38" s="291"/>
      <c r="AG38" s="291"/>
      <c r="AH38" s="291"/>
      <c r="AI38" s="291"/>
      <c r="AJ38" s="291"/>
      <c r="AK38" s="291"/>
      <c r="AL38" s="291"/>
      <c r="AM38" s="291"/>
      <c r="AN38" s="207"/>
      <c r="AO38" s="207"/>
      <c r="AP38" s="291"/>
      <c r="AQ38" s="291"/>
      <c r="AR38" s="291"/>
      <c r="AS38" s="291"/>
      <c r="AT38" s="291"/>
      <c r="AU38" s="291"/>
      <c r="AV38" s="291"/>
      <c r="AW38" s="291"/>
      <c r="AX38" s="291"/>
      <c r="AY38" s="291"/>
      <c r="AZ38" s="291"/>
      <c r="BA38" s="207"/>
      <c r="BB38" s="207"/>
      <c r="BC38" s="291"/>
      <c r="BD38" s="291"/>
      <c r="BE38" s="291"/>
      <c r="BF38" s="291"/>
      <c r="BG38" s="291"/>
      <c r="BH38" s="291"/>
      <c r="BI38" s="291"/>
      <c r="BJ38" s="291"/>
      <c r="BK38" s="291"/>
      <c r="BL38" s="291"/>
      <c r="BM38" s="291"/>
      <c r="BN38" s="207"/>
      <c r="BO38" s="207"/>
      <c r="BP38" s="291"/>
      <c r="BQ38" s="291"/>
      <c r="BR38" s="291"/>
      <c r="BS38" s="291"/>
      <c r="BT38" s="291"/>
      <c r="BU38" s="291"/>
      <c r="BV38" s="291"/>
      <c r="BW38" s="291"/>
      <c r="BX38" s="291"/>
      <c r="BY38" s="291"/>
      <c r="BZ38" s="291"/>
      <c r="CA38" s="207"/>
      <c r="CB38" s="207"/>
      <c r="CC38" s="291"/>
      <c r="CD38" s="291"/>
      <c r="CE38" s="291"/>
      <c r="CF38" s="291"/>
      <c r="CG38" s="291"/>
      <c r="CH38" s="291"/>
      <c r="CI38" s="291"/>
      <c r="CJ38" s="291"/>
      <c r="CK38" s="291"/>
      <c r="CL38" s="291"/>
      <c r="CM38" s="291"/>
      <c r="CN38" s="207"/>
      <c r="CO38" s="207"/>
      <c r="CP38" s="291"/>
      <c r="CQ38" s="291"/>
      <c r="CR38" s="291"/>
      <c r="CS38" s="291"/>
      <c r="CT38" s="291"/>
      <c r="CU38" s="291"/>
      <c r="CV38" s="291"/>
      <c r="CW38" s="291"/>
      <c r="CX38" s="291"/>
      <c r="CY38" s="291"/>
      <c r="CZ38" s="291"/>
      <c r="DA38" s="207"/>
      <c r="DB38" s="207"/>
      <c r="DC38" s="291"/>
      <c r="DD38" s="291"/>
      <c r="DE38" s="291"/>
      <c r="DF38" s="291"/>
      <c r="DG38" s="291"/>
      <c r="DH38" s="291"/>
      <c r="DI38" s="291"/>
      <c r="DJ38" s="291"/>
      <c r="DK38" s="291"/>
      <c r="DL38" s="291"/>
      <c r="DM38" s="291"/>
      <c r="DN38" s="207"/>
      <c r="DO38" s="207"/>
      <c r="DP38" s="291"/>
      <c r="DQ38" s="291"/>
      <c r="DR38" s="291"/>
      <c r="DS38" s="291"/>
      <c r="DT38" s="291"/>
      <c r="DU38" s="291"/>
      <c r="DV38" s="291"/>
      <c r="DW38" s="291"/>
      <c r="DX38" s="291"/>
      <c r="DY38" s="291"/>
      <c r="DZ38" s="291"/>
      <c r="EA38" s="207"/>
      <c r="EB38" s="207"/>
      <c r="EC38" s="291"/>
      <c r="ED38" s="291"/>
      <c r="EE38" s="291"/>
      <c r="EF38" s="291"/>
      <c r="EG38" s="291"/>
      <c r="EH38" s="291"/>
      <c r="EI38" s="291"/>
      <c r="EJ38" s="291"/>
      <c r="EK38" s="291"/>
      <c r="EL38" s="291"/>
      <c r="EM38" s="291"/>
      <c r="EN38" s="207"/>
      <c r="EO38" s="207"/>
      <c r="EP38" s="291"/>
      <c r="EQ38" s="291"/>
      <c r="ER38" s="291"/>
      <c r="ES38" s="291"/>
      <c r="ET38" s="291"/>
      <c r="EU38" s="291"/>
      <c r="EV38" s="291"/>
      <c r="EW38" s="291"/>
      <c r="EX38" s="291"/>
      <c r="EY38" s="291"/>
      <c r="EZ38" s="291"/>
      <c r="FA38" s="207"/>
      <c r="FB38" s="207"/>
      <c r="FC38" s="291"/>
      <c r="FD38" s="291"/>
      <c r="FE38" s="291"/>
      <c r="FF38" s="291"/>
      <c r="FG38" s="291"/>
      <c r="FH38" s="291"/>
      <c r="FI38" s="291"/>
      <c r="FJ38" s="291"/>
      <c r="FK38" s="291"/>
      <c r="FL38" s="291"/>
      <c r="FM38" s="291"/>
      <c r="FN38" s="207"/>
      <c r="FO38" s="207"/>
      <c r="FP38" s="291"/>
      <c r="FQ38" s="291"/>
      <c r="FR38" s="291"/>
      <c r="FS38" s="291"/>
      <c r="FT38" s="291"/>
      <c r="FU38" s="291"/>
      <c r="FV38" s="291"/>
      <c r="FW38" s="291"/>
      <c r="FX38" s="291"/>
      <c r="FY38" s="291"/>
      <c r="FZ38" s="291"/>
      <c r="GA38" s="207"/>
      <c r="GB38" s="207"/>
      <c r="GC38" s="291"/>
      <c r="GD38" s="291"/>
      <c r="GE38" s="291"/>
      <c r="GF38" s="291"/>
      <c r="GG38" s="291"/>
      <c r="GH38" s="291"/>
      <c r="GI38" s="291"/>
      <c r="GJ38" s="291"/>
      <c r="GK38" s="291"/>
      <c r="GL38" s="291"/>
      <c r="GM38" s="291"/>
      <c r="GN38" s="207"/>
      <c r="GO38" s="207"/>
      <c r="GP38" s="291"/>
      <c r="GQ38" s="291"/>
      <c r="GR38" s="291"/>
      <c r="GS38" s="291"/>
      <c r="GT38" s="291"/>
      <c r="GU38" s="291"/>
      <c r="GV38" s="291"/>
      <c r="GW38" s="291"/>
      <c r="GX38" s="291"/>
      <c r="GY38" s="291"/>
      <c r="GZ38" s="291"/>
      <c r="HA38" s="207"/>
      <c r="HB38" s="207"/>
      <c r="HC38" s="291"/>
      <c r="HD38" s="291"/>
      <c r="HE38" s="291"/>
      <c r="HF38" s="291"/>
      <c r="HG38" s="291"/>
      <c r="HH38" s="291"/>
      <c r="HI38" s="291"/>
      <c r="HJ38" s="291"/>
      <c r="HK38" s="291"/>
      <c r="HL38" s="291"/>
      <c r="HM38" s="291"/>
      <c r="HN38" s="207"/>
      <c r="HO38" s="207"/>
      <c r="HP38" s="291"/>
      <c r="HQ38" s="291"/>
      <c r="HR38" s="291"/>
      <c r="HS38" s="291"/>
      <c r="HT38" s="291"/>
      <c r="HU38" s="291"/>
      <c r="HV38" s="291"/>
      <c r="HW38" s="291"/>
      <c r="HX38" s="291"/>
      <c r="HY38" s="291"/>
      <c r="HZ38" s="291"/>
      <c r="IA38" s="207"/>
      <c r="IB38" s="207"/>
      <c r="IC38" s="291"/>
      <c r="ID38" s="291"/>
      <c r="IE38" s="291"/>
      <c r="IF38" s="291"/>
      <c r="IG38" s="291"/>
      <c r="IH38" s="291"/>
      <c r="II38" s="291"/>
      <c r="IJ38" s="291"/>
      <c r="IK38" s="291"/>
      <c r="IL38" s="291"/>
      <c r="IM38" s="291"/>
      <c r="IN38" s="207"/>
      <c r="IO38" s="207"/>
      <c r="IP38" s="291"/>
      <c r="IQ38" s="291"/>
      <c r="IR38" s="291"/>
      <c r="IS38" s="291"/>
      <c r="IT38" s="291"/>
      <c r="IU38" s="291"/>
      <c r="IV38" s="291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92"/>
      <c r="Q39" s="292"/>
      <c r="R39" s="292"/>
      <c r="S39" s="292"/>
      <c r="T39" s="292"/>
      <c r="U39" s="292"/>
      <c r="V39" s="292"/>
      <c r="W39" s="292"/>
      <c r="X39" s="292"/>
      <c r="Y39" s="292"/>
      <c r="Z39" s="292"/>
      <c r="AA39" s="207"/>
      <c r="AB39" s="207"/>
      <c r="AC39" s="291"/>
      <c r="AD39" s="291"/>
      <c r="AE39" s="291"/>
      <c r="AF39" s="291"/>
      <c r="AG39" s="291"/>
      <c r="AH39" s="291"/>
      <c r="AI39" s="291"/>
      <c r="AJ39" s="291"/>
      <c r="AK39" s="291"/>
      <c r="AL39" s="291"/>
      <c r="AM39" s="291"/>
      <c r="AN39" s="207"/>
      <c r="AO39" s="207"/>
      <c r="AP39" s="291"/>
      <c r="AQ39" s="291"/>
      <c r="AR39" s="291"/>
      <c r="AS39" s="291"/>
      <c r="AT39" s="291"/>
      <c r="AU39" s="291"/>
      <c r="AV39" s="291"/>
      <c r="AW39" s="291"/>
      <c r="AX39" s="291"/>
      <c r="AY39" s="291"/>
      <c r="AZ39" s="291"/>
      <c r="BA39" s="207"/>
      <c r="BB39" s="207"/>
      <c r="BC39" s="291"/>
      <c r="BD39" s="291"/>
      <c r="BE39" s="291"/>
      <c r="BF39" s="291"/>
      <c r="BG39" s="291"/>
      <c r="BH39" s="291"/>
      <c r="BI39" s="291"/>
      <c r="BJ39" s="291"/>
      <c r="BK39" s="291"/>
      <c r="BL39" s="291"/>
      <c r="BM39" s="291"/>
      <c r="BN39" s="207"/>
      <c r="BO39" s="207"/>
      <c r="BP39" s="291"/>
      <c r="BQ39" s="291"/>
      <c r="BR39" s="291"/>
      <c r="BS39" s="291"/>
      <c r="BT39" s="291"/>
      <c r="BU39" s="291"/>
      <c r="BV39" s="291"/>
      <c r="BW39" s="291"/>
      <c r="BX39" s="291"/>
      <c r="BY39" s="291"/>
      <c r="BZ39" s="291"/>
      <c r="CA39" s="207"/>
      <c r="CB39" s="207"/>
      <c r="CC39" s="291"/>
      <c r="CD39" s="291"/>
      <c r="CE39" s="291"/>
      <c r="CF39" s="291"/>
      <c r="CG39" s="291"/>
      <c r="CH39" s="291"/>
      <c r="CI39" s="291"/>
      <c r="CJ39" s="291"/>
      <c r="CK39" s="291"/>
      <c r="CL39" s="291"/>
      <c r="CM39" s="291"/>
      <c r="CN39" s="207"/>
      <c r="CO39" s="207"/>
      <c r="CP39" s="291"/>
      <c r="CQ39" s="291"/>
      <c r="CR39" s="291"/>
      <c r="CS39" s="291"/>
      <c r="CT39" s="291"/>
      <c r="CU39" s="291"/>
      <c r="CV39" s="291"/>
      <c r="CW39" s="291"/>
      <c r="CX39" s="291"/>
      <c r="CY39" s="291"/>
      <c r="CZ39" s="291"/>
      <c r="DA39" s="207"/>
      <c r="DB39" s="207"/>
      <c r="DC39" s="291"/>
      <c r="DD39" s="291"/>
      <c r="DE39" s="291"/>
      <c r="DF39" s="291"/>
      <c r="DG39" s="291"/>
      <c r="DH39" s="291"/>
      <c r="DI39" s="291"/>
      <c r="DJ39" s="291"/>
      <c r="DK39" s="291"/>
      <c r="DL39" s="291"/>
      <c r="DM39" s="291"/>
      <c r="DN39" s="207"/>
      <c r="DO39" s="207"/>
      <c r="DP39" s="291"/>
      <c r="DQ39" s="291"/>
      <c r="DR39" s="291"/>
      <c r="DS39" s="291"/>
      <c r="DT39" s="291"/>
      <c r="DU39" s="291"/>
      <c r="DV39" s="291"/>
      <c r="DW39" s="291"/>
      <c r="DX39" s="291"/>
      <c r="DY39" s="291"/>
      <c r="DZ39" s="291"/>
      <c r="EA39" s="207"/>
      <c r="EB39" s="207"/>
      <c r="EC39" s="291"/>
      <c r="ED39" s="291"/>
      <c r="EE39" s="291"/>
      <c r="EF39" s="291"/>
      <c r="EG39" s="291"/>
      <c r="EH39" s="291"/>
      <c r="EI39" s="291"/>
      <c r="EJ39" s="291"/>
      <c r="EK39" s="291"/>
      <c r="EL39" s="291"/>
      <c r="EM39" s="291"/>
      <c r="EN39" s="207"/>
      <c r="EO39" s="207"/>
      <c r="EP39" s="291"/>
      <c r="EQ39" s="291"/>
      <c r="ER39" s="291"/>
      <c r="ES39" s="291"/>
      <c r="ET39" s="291"/>
      <c r="EU39" s="291"/>
      <c r="EV39" s="291"/>
      <c r="EW39" s="291"/>
      <c r="EX39" s="291"/>
      <c r="EY39" s="291"/>
      <c r="EZ39" s="291"/>
      <c r="FA39" s="207"/>
      <c r="FB39" s="207"/>
      <c r="FC39" s="291"/>
      <c r="FD39" s="291"/>
      <c r="FE39" s="291"/>
      <c r="FF39" s="291"/>
      <c r="FG39" s="291"/>
      <c r="FH39" s="291"/>
      <c r="FI39" s="291"/>
      <c r="FJ39" s="291"/>
      <c r="FK39" s="291"/>
      <c r="FL39" s="291"/>
      <c r="FM39" s="291"/>
      <c r="FN39" s="207"/>
      <c r="FO39" s="207"/>
      <c r="FP39" s="291"/>
      <c r="FQ39" s="291"/>
      <c r="FR39" s="291"/>
      <c r="FS39" s="291"/>
      <c r="FT39" s="291"/>
      <c r="FU39" s="291"/>
      <c r="FV39" s="291"/>
      <c r="FW39" s="291"/>
      <c r="FX39" s="291"/>
      <c r="FY39" s="291"/>
      <c r="FZ39" s="291"/>
      <c r="GA39" s="207"/>
      <c r="GB39" s="207"/>
      <c r="GC39" s="291"/>
      <c r="GD39" s="291"/>
      <c r="GE39" s="291"/>
      <c r="GF39" s="291"/>
      <c r="GG39" s="291"/>
      <c r="GH39" s="291"/>
      <c r="GI39" s="291"/>
      <c r="GJ39" s="291"/>
      <c r="GK39" s="291"/>
      <c r="GL39" s="291"/>
      <c r="GM39" s="291"/>
      <c r="GN39" s="207"/>
      <c r="GO39" s="207"/>
      <c r="GP39" s="291"/>
      <c r="GQ39" s="291"/>
      <c r="GR39" s="291"/>
      <c r="GS39" s="291"/>
      <c r="GT39" s="291"/>
      <c r="GU39" s="291"/>
      <c r="GV39" s="291"/>
      <c r="GW39" s="291"/>
      <c r="GX39" s="291"/>
      <c r="GY39" s="291"/>
      <c r="GZ39" s="291"/>
      <c r="HA39" s="207"/>
      <c r="HB39" s="207"/>
      <c r="HC39" s="291"/>
      <c r="HD39" s="291"/>
      <c r="HE39" s="291"/>
      <c r="HF39" s="291"/>
      <c r="HG39" s="291"/>
      <c r="HH39" s="291"/>
      <c r="HI39" s="291"/>
      <c r="HJ39" s="291"/>
      <c r="HK39" s="291"/>
      <c r="HL39" s="291"/>
      <c r="HM39" s="291"/>
      <c r="HN39" s="207"/>
      <c r="HO39" s="207"/>
      <c r="HP39" s="291"/>
      <c r="HQ39" s="291"/>
      <c r="HR39" s="291"/>
      <c r="HS39" s="291"/>
      <c r="HT39" s="291"/>
      <c r="HU39" s="291"/>
      <c r="HV39" s="291"/>
      <c r="HW39" s="291"/>
      <c r="HX39" s="291"/>
      <c r="HY39" s="291"/>
      <c r="HZ39" s="291"/>
      <c r="IA39" s="207"/>
      <c r="IB39" s="207"/>
      <c r="IC39" s="291"/>
      <c r="ID39" s="291"/>
      <c r="IE39" s="291"/>
      <c r="IF39" s="291"/>
      <c r="IG39" s="291"/>
      <c r="IH39" s="291"/>
      <c r="II39" s="291"/>
      <c r="IJ39" s="291"/>
      <c r="IK39" s="291"/>
      <c r="IL39" s="291"/>
      <c r="IM39" s="291"/>
      <c r="IN39" s="207"/>
      <c r="IO39" s="207"/>
      <c r="IP39" s="291"/>
      <c r="IQ39" s="291"/>
      <c r="IR39" s="291"/>
      <c r="IS39" s="291"/>
      <c r="IT39" s="291"/>
      <c r="IU39" s="291"/>
      <c r="IV39" s="291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92"/>
      <c r="Q40" s="292"/>
      <c r="R40" s="292"/>
      <c r="S40" s="292"/>
      <c r="T40" s="292"/>
      <c r="U40" s="292"/>
      <c r="V40" s="292"/>
      <c r="W40" s="292"/>
      <c r="X40" s="292"/>
      <c r="Y40" s="292"/>
      <c r="Z40" s="292"/>
      <c r="AA40" s="207"/>
      <c r="AB40" s="207"/>
      <c r="AC40" s="291"/>
      <c r="AD40" s="291"/>
      <c r="AE40" s="291"/>
      <c r="AF40" s="291"/>
      <c r="AG40" s="291"/>
      <c r="AH40" s="291"/>
      <c r="AI40" s="291"/>
      <c r="AJ40" s="291"/>
      <c r="AK40" s="291"/>
      <c r="AL40" s="291"/>
      <c r="AM40" s="291"/>
      <c r="AN40" s="207"/>
      <c r="AO40" s="207"/>
      <c r="AP40" s="291"/>
      <c r="AQ40" s="291"/>
      <c r="AR40" s="291"/>
      <c r="AS40" s="291"/>
      <c r="AT40" s="291"/>
      <c r="AU40" s="291"/>
      <c r="AV40" s="291"/>
      <c r="AW40" s="291"/>
      <c r="AX40" s="291"/>
      <c r="AY40" s="291"/>
      <c r="AZ40" s="291"/>
      <c r="BA40" s="207"/>
      <c r="BB40" s="207"/>
      <c r="BC40" s="291"/>
      <c r="BD40" s="291"/>
      <c r="BE40" s="291"/>
      <c r="BF40" s="291"/>
      <c r="BG40" s="291"/>
      <c r="BH40" s="291"/>
      <c r="BI40" s="291"/>
      <c r="BJ40" s="291"/>
      <c r="BK40" s="291"/>
      <c r="BL40" s="291"/>
      <c r="BM40" s="291"/>
      <c r="BN40" s="207"/>
      <c r="BO40" s="207"/>
      <c r="BP40" s="291"/>
      <c r="BQ40" s="291"/>
      <c r="BR40" s="291"/>
      <c r="BS40" s="291"/>
      <c r="BT40" s="291"/>
      <c r="BU40" s="291"/>
      <c r="BV40" s="291"/>
      <c r="BW40" s="291"/>
      <c r="BX40" s="291"/>
      <c r="BY40" s="291"/>
      <c r="BZ40" s="291"/>
      <c r="CA40" s="207"/>
      <c r="CB40" s="207"/>
      <c r="CC40" s="291"/>
      <c r="CD40" s="291"/>
      <c r="CE40" s="291"/>
      <c r="CF40" s="291"/>
      <c r="CG40" s="291"/>
      <c r="CH40" s="291"/>
      <c r="CI40" s="291"/>
      <c r="CJ40" s="291"/>
      <c r="CK40" s="291"/>
      <c r="CL40" s="291"/>
      <c r="CM40" s="291"/>
      <c r="CN40" s="207"/>
      <c r="CO40" s="207"/>
      <c r="CP40" s="291"/>
      <c r="CQ40" s="291"/>
      <c r="CR40" s="291"/>
      <c r="CS40" s="291"/>
      <c r="CT40" s="291"/>
      <c r="CU40" s="291"/>
      <c r="CV40" s="291"/>
      <c r="CW40" s="291"/>
      <c r="CX40" s="291"/>
      <c r="CY40" s="291"/>
      <c r="CZ40" s="291"/>
      <c r="DA40" s="207"/>
      <c r="DB40" s="207"/>
      <c r="DC40" s="291"/>
      <c r="DD40" s="291"/>
      <c r="DE40" s="291"/>
      <c r="DF40" s="291"/>
      <c r="DG40" s="291"/>
      <c r="DH40" s="291"/>
      <c r="DI40" s="291"/>
      <c r="DJ40" s="291"/>
      <c r="DK40" s="291"/>
      <c r="DL40" s="291"/>
      <c r="DM40" s="291"/>
      <c r="DN40" s="207"/>
      <c r="DO40" s="207"/>
      <c r="DP40" s="291"/>
      <c r="DQ40" s="291"/>
      <c r="DR40" s="291"/>
      <c r="DS40" s="291"/>
      <c r="DT40" s="291"/>
      <c r="DU40" s="291"/>
      <c r="DV40" s="291"/>
      <c r="DW40" s="291"/>
      <c r="DX40" s="291"/>
      <c r="DY40" s="291"/>
      <c r="DZ40" s="291"/>
      <c r="EA40" s="207"/>
      <c r="EB40" s="207"/>
      <c r="EC40" s="291"/>
      <c r="ED40" s="291"/>
      <c r="EE40" s="291"/>
      <c r="EF40" s="291"/>
      <c r="EG40" s="291"/>
      <c r="EH40" s="291"/>
      <c r="EI40" s="291"/>
      <c r="EJ40" s="291"/>
      <c r="EK40" s="291"/>
      <c r="EL40" s="291"/>
      <c r="EM40" s="291"/>
      <c r="EN40" s="207"/>
      <c r="EO40" s="207"/>
      <c r="EP40" s="291"/>
      <c r="EQ40" s="291"/>
      <c r="ER40" s="291"/>
      <c r="ES40" s="291"/>
      <c r="ET40" s="291"/>
      <c r="EU40" s="291"/>
      <c r="EV40" s="291"/>
      <c r="EW40" s="291"/>
      <c r="EX40" s="291"/>
      <c r="EY40" s="291"/>
      <c r="EZ40" s="291"/>
      <c r="FA40" s="207"/>
      <c r="FB40" s="207"/>
      <c r="FC40" s="291"/>
      <c r="FD40" s="291"/>
      <c r="FE40" s="291"/>
      <c r="FF40" s="291"/>
      <c r="FG40" s="291"/>
      <c r="FH40" s="291"/>
      <c r="FI40" s="291"/>
      <c r="FJ40" s="291"/>
      <c r="FK40" s="291"/>
      <c r="FL40" s="291"/>
      <c r="FM40" s="291"/>
      <c r="FN40" s="207"/>
      <c r="FO40" s="207"/>
      <c r="FP40" s="291"/>
      <c r="FQ40" s="291"/>
      <c r="FR40" s="291"/>
      <c r="FS40" s="291"/>
      <c r="FT40" s="291"/>
      <c r="FU40" s="291"/>
      <c r="FV40" s="291"/>
      <c r="FW40" s="291"/>
      <c r="FX40" s="291"/>
      <c r="FY40" s="291"/>
      <c r="FZ40" s="291"/>
      <c r="GA40" s="207"/>
      <c r="GB40" s="207"/>
      <c r="GC40" s="291"/>
      <c r="GD40" s="291"/>
      <c r="GE40" s="291"/>
      <c r="GF40" s="291"/>
      <c r="GG40" s="291"/>
      <c r="GH40" s="291"/>
      <c r="GI40" s="291"/>
      <c r="GJ40" s="291"/>
      <c r="GK40" s="291"/>
      <c r="GL40" s="291"/>
      <c r="GM40" s="291"/>
      <c r="GN40" s="207"/>
      <c r="GO40" s="207"/>
      <c r="GP40" s="291"/>
      <c r="GQ40" s="291"/>
      <c r="GR40" s="291"/>
      <c r="GS40" s="291"/>
      <c r="GT40" s="291"/>
      <c r="GU40" s="291"/>
      <c r="GV40" s="291"/>
      <c r="GW40" s="291"/>
      <c r="GX40" s="291"/>
      <c r="GY40" s="291"/>
      <c r="GZ40" s="291"/>
      <c r="HA40" s="207"/>
      <c r="HB40" s="207"/>
      <c r="HC40" s="291"/>
      <c r="HD40" s="291"/>
      <c r="HE40" s="291"/>
      <c r="HF40" s="291"/>
      <c r="HG40" s="291"/>
      <c r="HH40" s="291"/>
      <c r="HI40" s="291"/>
      <c r="HJ40" s="291"/>
      <c r="HK40" s="291"/>
      <c r="HL40" s="291"/>
      <c r="HM40" s="291"/>
      <c r="HN40" s="207"/>
      <c r="HO40" s="207"/>
      <c r="HP40" s="291"/>
      <c r="HQ40" s="291"/>
      <c r="HR40" s="291"/>
      <c r="HS40" s="291"/>
      <c r="HT40" s="291"/>
      <c r="HU40" s="291"/>
      <c r="HV40" s="291"/>
      <c r="HW40" s="291"/>
      <c r="HX40" s="291"/>
      <c r="HY40" s="291"/>
      <c r="HZ40" s="291"/>
      <c r="IA40" s="207"/>
      <c r="IB40" s="207"/>
      <c r="IC40" s="291"/>
      <c r="ID40" s="291"/>
      <c r="IE40" s="291"/>
      <c r="IF40" s="291"/>
      <c r="IG40" s="291"/>
      <c r="IH40" s="291"/>
      <c r="II40" s="291"/>
      <c r="IJ40" s="291"/>
      <c r="IK40" s="291"/>
      <c r="IL40" s="291"/>
      <c r="IM40" s="291"/>
      <c r="IN40" s="207"/>
      <c r="IO40" s="207"/>
      <c r="IP40" s="291"/>
      <c r="IQ40" s="291"/>
      <c r="IR40" s="291"/>
      <c r="IS40" s="291"/>
      <c r="IT40" s="291"/>
      <c r="IU40" s="291"/>
      <c r="IV40" s="291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88"/>
      <c r="D70" s="288"/>
      <c r="E70" s="288"/>
      <c r="F70" s="288"/>
      <c r="G70" s="288"/>
      <c r="H70" s="288"/>
      <c r="I70" s="288"/>
      <c r="J70" s="288"/>
      <c r="K70" s="288"/>
      <c r="L70" s="288"/>
      <c r="M70" s="28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90" t="s">
        <v>848</v>
      </c>
      <c r="B72" s="290"/>
      <c r="C72" s="290"/>
      <c r="D72" s="290"/>
      <c r="E72" s="29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5"/>
      <c r="D73" s="285"/>
      <c r="E73" s="285"/>
      <c r="F73" s="285"/>
      <c r="G73" s="285"/>
      <c r="H73" s="285"/>
      <c r="I73" s="285"/>
      <c r="J73" s="285"/>
      <c r="K73" s="285"/>
      <c r="L73" s="285"/>
      <c r="M73" s="285"/>
    </row>
    <row r="74" spans="1:13" x14ac:dyDescent="0.2">
      <c r="A74" s="211"/>
      <c r="B74" s="211"/>
      <c r="C74" s="285"/>
      <c r="D74" s="285"/>
      <c r="E74" s="285"/>
      <c r="F74" s="285"/>
      <c r="G74" s="285"/>
      <c r="H74" s="285"/>
      <c r="I74" s="285"/>
      <c r="J74" s="285"/>
      <c r="K74" s="285"/>
      <c r="L74" s="285"/>
      <c r="M74" s="285"/>
    </row>
    <row r="75" spans="1:13" x14ac:dyDescent="0.2">
      <c r="A75" s="211"/>
      <c r="B75" s="211"/>
      <c r="C75" s="285"/>
      <c r="D75" s="285"/>
      <c r="E75" s="285"/>
      <c r="F75" s="285"/>
      <c r="G75" s="285"/>
      <c r="H75" s="285"/>
      <c r="I75" s="285"/>
      <c r="J75" s="285"/>
      <c r="K75" s="285"/>
      <c r="L75" s="285"/>
      <c r="M75" s="285"/>
    </row>
    <row r="76" spans="1:13" x14ac:dyDescent="0.2">
      <c r="A76" s="211"/>
      <c r="B76" s="211"/>
      <c r="C76" s="285"/>
      <c r="D76" s="285"/>
      <c r="E76" s="285"/>
      <c r="F76" s="285"/>
      <c r="G76" s="285"/>
      <c r="H76" s="285"/>
      <c r="I76" s="285"/>
      <c r="J76" s="285"/>
      <c r="K76" s="285"/>
      <c r="L76" s="285"/>
      <c r="M76" s="285"/>
    </row>
    <row r="77" spans="1:13" x14ac:dyDescent="0.2">
      <c r="A77" s="211"/>
      <c r="B77" s="211"/>
      <c r="C77" s="285"/>
      <c r="D77" s="285"/>
      <c r="E77" s="285"/>
      <c r="F77" s="285"/>
      <c r="G77" s="285"/>
      <c r="H77" s="285"/>
      <c r="I77" s="285"/>
      <c r="J77" s="285"/>
      <c r="K77" s="285"/>
      <c r="L77" s="285"/>
      <c r="M77" s="285"/>
    </row>
    <row r="78" spans="1:13" x14ac:dyDescent="0.2">
      <c r="A78" s="211"/>
      <c r="B78" s="211"/>
      <c r="C78" s="285"/>
      <c r="D78" s="285"/>
      <c r="E78" s="285"/>
      <c r="F78" s="285"/>
      <c r="G78" s="285"/>
      <c r="H78" s="285"/>
      <c r="I78" s="285"/>
      <c r="J78" s="285"/>
      <c r="K78" s="285"/>
      <c r="L78" s="285"/>
      <c r="M78" s="285"/>
    </row>
    <row r="79" spans="1:13" x14ac:dyDescent="0.2">
      <c r="A79" s="211"/>
      <c r="B79" s="211"/>
      <c r="C79" s="285"/>
      <c r="D79" s="285"/>
      <c r="E79" s="285"/>
      <c r="F79" s="285"/>
      <c r="G79" s="285"/>
      <c r="H79" s="285"/>
      <c r="I79" s="285"/>
      <c r="J79" s="285"/>
      <c r="K79" s="285"/>
      <c r="L79" s="285"/>
      <c r="M79" s="285"/>
    </row>
    <row r="80" spans="1:13" x14ac:dyDescent="0.2">
      <c r="A80" s="211"/>
      <c r="B80" s="211"/>
      <c r="C80" s="285"/>
      <c r="D80" s="285"/>
      <c r="E80" s="285"/>
      <c r="F80" s="285"/>
      <c r="G80" s="285"/>
      <c r="H80" s="285"/>
      <c r="I80" s="285"/>
      <c r="J80" s="285"/>
      <c r="K80" s="285"/>
      <c r="L80" s="285"/>
      <c r="M80" s="285"/>
    </row>
    <row r="81" spans="1:13" x14ac:dyDescent="0.2">
      <c r="A81" s="211"/>
      <c r="B81" s="211"/>
      <c r="C81" s="285"/>
      <c r="D81" s="285"/>
      <c r="E81" s="285"/>
      <c r="F81" s="285"/>
      <c r="G81" s="285"/>
      <c r="H81" s="285"/>
      <c r="I81" s="285"/>
      <c r="J81" s="285"/>
      <c r="K81" s="285"/>
      <c r="L81" s="285"/>
      <c r="M81" s="285"/>
    </row>
    <row r="82" spans="1:13" x14ac:dyDescent="0.2">
      <c r="A82" s="211"/>
      <c r="B82" s="211"/>
      <c r="C82" s="285"/>
      <c r="D82" s="285"/>
      <c r="E82" s="285"/>
      <c r="F82" s="285"/>
      <c r="G82" s="285"/>
      <c r="H82" s="285"/>
      <c r="I82" s="285"/>
      <c r="J82" s="285"/>
      <c r="K82" s="285"/>
      <c r="L82" s="285"/>
      <c r="M82" s="285"/>
    </row>
    <row r="83" spans="1:13" x14ac:dyDescent="0.2">
      <c r="A83" s="211"/>
      <c r="B83" s="211"/>
      <c r="C83" s="285"/>
      <c r="D83" s="285"/>
      <c r="E83" s="285"/>
      <c r="F83" s="285"/>
      <c r="G83" s="285"/>
      <c r="H83" s="285"/>
      <c r="I83" s="285"/>
      <c r="J83" s="285"/>
      <c r="K83" s="285"/>
      <c r="L83" s="285"/>
      <c r="M83" s="285"/>
    </row>
    <row r="84" spans="1:13" x14ac:dyDescent="0.2">
      <c r="A84" s="211"/>
      <c r="B84" s="211"/>
      <c r="C84" s="285"/>
      <c r="D84" s="285"/>
      <c r="E84" s="285"/>
      <c r="F84" s="285"/>
      <c r="G84" s="285"/>
      <c r="H84" s="285"/>
      <c r="I84" s="285"/>
      <c r="J84" s="285"/>
      <c r="K84" s="285"/>
      <c r="L84" s="285"/>
      <c r="M84" s="285"/>
    </row>
    <row r="85" spans="1:13" x14ac:dyDescent="0.2">
      <c r="A85" s="211"/>
      <c r="B85" s="211"/>
      <c r="C85" s="285"/>
      <c r="D85" s="285"/>
      <c r="E85" s="285"/>
      <c r="F85" s="285"/>
      <c r="G85" s="285"/>
      <c r="H85" s="285"/>
      <c r="I85" s="285"/>
      <c r="J85" s="285"/>
      <c r="K85" s="285"/>
      <c r="L85" s="285"/>
      <c r="M85" s="285"/>
    </row>
    <row r="86" spans="1:13" x14ac:dyDescent="0.2">
      <c r="A86" s="211"/>
      <c r="B86" s="211"/>
      <c r="C86" s="285"/>
      <c r="D86" s="285"/>
      <c r="E86" s="285"/>
      <c r="F86" s="285"/>
      <c r="G86" s="285"/>
      <c r="H86" s="285"/>
      <c r="I86" s="285"/>
      <c r="J86" s="285"/>
      <c r="K86" s="285"/>
      <c r="L86" s="285"/>
      <c r="M86" s="285"/>
    </row>
    <row r="87" spans="1:13" x14ac:dyDescent="0.2">
      <c r="A87" s="211"/>
      <c r="B87" s="211"/>
      <c r="C87" s="285"/>
      <c r="D87" s="285"/>
      <c r="E87" s="285"/>
      <c r="F87" s="285"/>
      <c r="G87" s="285"/>
      <c r="H87" s="285"/>
      <c r="I87" s="285"/>
      <c r="J87" s="285"/>
      <c r="K87" s="285"/>
      <c r="L87" s="285"/>
      <c r="M87" s="285"/>
    </row>
    <row r="88" spans="1:13" x14ac:dyDescent="0.2">
      <c r="A88" s="211"/>
      <c r="B88" s="211"/>
      <c r="C88" s="285"/>
      <c r="D88" s="285"/>
      <c r="E88" s="285"/>
      <c r="F88" s="285"/>
      <c r="G88" s="285"/>
      <c r="H88" s="285"/>
      <c r="I88" s="285"/>
      <c r="J88" s="285"/>
      <c r="K88" s="285"/>
      <c r="L88" s="285"/>
      <c r="M88" s="285"/>
    </row>
    <row r="89" spans="1:13" x14ac:dyDescent="0.2">
      <c r="A89" s="211"/>
      <c r="B89" s="211"/>
      <c r="C89" s="285"/>
      <c r="D89" s="285"/>
      <c r="E89" s="285"/>
      <c r="F89" s="285"/>
      <c r="G89" s="285"/>
      <c r="H89" s="285"/>
      <c r="I89" s="285"/>
      <c r="J89" s="285"/>
      <c r="K89" s="285"/>
      <c r="L89" s="285"/>
      <c r="M89" s="285"/>
    </row>
    <row r="90" spans="1:13" x14ac:dyDescent="0.2">
      <c r="A90" s="211"/>
      <c r="B90" s="211"/>
      <c r="C90" s="285"/>
      <c r="D90" s="285"/>
      <c r="E90" s="285"/>
      <c r="F90" s="285"/>
      <c r="G90" s="285"/>
      <c r="H90" s="285"/>
      <c r="I90" s="285"/>
      <c r="J90" s="285"/>
      <c r="K90" s="285"/>
      <c r="L90" s="285"/>
      <c r="M90" s="285"/>
    </row>
  </sheetData>
  <sheetProtection password="A30A" sheet="1" objects="1" scenarios="1"/>
  <mergeCells count="221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DP32:DZ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2015-08-11T20:11:44Z</cp:lastPrinted>
  <dcterms:created xsi:type="dcterms:W3CDTF">1997-12-04T19:04:30Z</dcterms:created>
  <dcterms:modified xsi:type="dcterms:W3CDTF">2015-11-30T13:52:49Z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