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9" i="13" l="1"/>
  <c r="C37" i="12" l="1"/>
  <c r="C39" i="12"/>
  <c r="B37" i="12"/>
  <c r="B39" i="12"/>
  <c r="C28" i="12"/>
  <c r="C19" i="12"/>
  <c r="C20" i="12"/>
  <c r="B19" i="12"/>
  <c r="B21" i="12"/>
  <c r="B20" i="12"/>
  <c r="C10" i="12"/>
  <c r="C12" i="12"/>
  <c r="C11" i="12"/>
  <c r="B10" i="12"/>
  <c r="B11" i="12"/>
  <c r="B12" i="12"/>
  <c r="H469" i="1" l="1"/>
  <c r="I243" i="1"/>
  <c r="J243" i="1"/>
  <c r="F277" i="1"/>
  <c r="H582" i="1" l="1"/>
  <c r="G97" i="1" l="1"/>
  <c r="G251" i="1" l="1"/>
  <c r="F251" i="1"/>
  <c r="F358" i="1" l="1"/>
  <c r="G472" i="1"/>
  <c r="G468" i="1"/>
  <c r="G24" i="1" l="1"/>
  <c r="G22" i="1"/>
  <c r="G14" i="1"/>
  <c r="H379" i="1" l="1"/>
  <c r="H378" i="1"/>
  <c r="F69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E8" i="13" s="1"/>
  <c r="C8" i="13" s="1"/>
  <c r="D39" i="13"/>
  <c r="F13" i="13"/>
  <c r="G13" i="13"/>
  <c r="L206" i="1"/>
  <c r="L224" i="1"/>
  <c r="C19" i="10" s="1"/>
  <c r="L242" i="1"/>
  <c r="F16" i="13"/>
  <c r="G16" i="13"/>
  <c r="L209" i="1"/>
  <c r="C125" i="2" s="1"/>
  <c r="L227" i="1"/>
  <c r="L245" i="1"/>
  <c r="F5" i="13"/>
  <c r="G5" i="13"/>
  <c r="D5" i="13" s="1"/>
  <c r="C5" i="13" s="1"/>
  <c r="L197" i="1"/>
  <c r="L198" i="1"/>
  <c r="L199" i="1"/>
  <c r="L200" i="1"/>
  <c r="C112" i="2" s="1"/>
  <c r="L215" i="1"/>
  <c r="L216" i="1"/>
  <c r="L217" i="1"/>
  <c r="L229" i="1" s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C16" i="10" s="1"/>
  <c r="L221" i="1"/>
  <c r="L239" i="1"/>
  <c r="F12" i="13"/>
  <c r="G12" i="13"/>
  <c r="L205" i="1"/>
  <c r="L223" i="1"/>
  <c r="L241" i="1"/>
  <c r="C121" i="2" s="1"/>
  <c r="F14" i="13"/>
  <c r="G14" i="13"/>
  <c r="L207" i="1"/>
  <c r="L225" i="1"/>
  <c r="C123" i="2" s="1"/>
  <c r="L243" i="1"/>
  <c r="F15" i="13"/>
  <c r="G15" i="13"/>
  <c r="L208" i="1"/>
  <c r="H647" i="1" s="1"/>
  <c r="L226" i="1"/>
  <c r="G650" i="1" s="1"/>
  <c r="L244" i="1"/>
  <c r="F17" i="13"/>
  <c r="G17" i="13"/>
  <c r="L251" i="1"/>
  <c r="C114" i="2" s="1"/>
  <c r="F18" i="13"/>
  <c r="G18" i="13"/>
  <c r="L252" i="1"/>
  <c r="F19" i="13"/>
  <c r="D19" i="13" s="1"/>
  <c r="C19" i="13" s="1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C10" i="10" s="1"/>
  <c r="L277" i="1"/>
  <c r="C11" i="10" s="1"/>
  <c r="L278" i="1"/>
  <c r="L279" i="1"/>
  <c r="L281" i="1"/>
  <c r="E118" i="2" s="1"/>
  <c r="L282" i="1"/>
  <c r="E119" i="2" s="1"/>
  <c r="L283" i="1"/>
  <c r="L284" i="1"/>
  <c r="L285" i="1"/>
  <c r="E122" i="2" s="1"/>
  <c r="L286" i="1"/>
  <c r="E123" i="2" s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28" i="1" s="1"/>
  <c r="L316" i="1"/>
  <c r="L317" i="1"/>
  <c r="L319" i="1"/>
  <c r="L320" i="1"/>
  <c r="L321" i="1"/>
  <c r="L322" i="1"/>
  <c r="L323" i="1"/>
  <c r="L324" i="1"/>
  <c r="L325" i="1"/>
  <c r="L326" i="1"/>
  <c r="L333" i="1"/>
  <c r="L334" i="1"/>
  <c r="E114" i="2" s="1"/>
  <c r="L335" i="1"/>
  <c r="L260" i="1"/>
  <c r="L261" i="1"/>
  <c r="C25" i="10" s="1"/>
  <c r="L341" i="1"/>
  <c r="L342" i="1"/>
  <c r="L255" i="1"/>
  <c r="L336" i="1"/>
  <c r="F22" i="13" s="1"/>
  <c r="C22" i="13" s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C31" i="12"/>
  <c r="A31" i="12" s="1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401" i="1" s="1"/>
  <c r="C139" i="2" s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I60" i="1"/>
  <c r="F94" i="1"/>
  <c r="C58" i="2" s="1"/>
  <c r="F111" i="1"/>
  <c r="G111" i="1"/>
  <c r="H79" i="1"/>
  <c r="H94" i="1"/>
  <c r="H111" i="1"/>
  <c r="I111" i="1"/>
  <c r="I112" i="1" s="1"/>
  <c r="J111" i="1"/>
  <c r="F121" i="1"/>
  <c r="F136" i="1"/>
  <c r="G121" i="1"/>
  <c r="G136" i="1"/>
  <c r="H121" i="1"/>
  <c r="H140" i="1" s="1"/>
  <c r="H136" i="1"/>
  <c r="I121" i="1"/>
  <c r="I136" i="1"/>
  <c r="J121" i="1"/>
  <c r="J136" i="1"/>
  <c r="J140" i="1" s="1"/>
  <c r="F147" i="1"/>
  <c r="F162" i="1"/>
  <c r="G147" i="1"/>
  <c r="G162" i="1"/>
  <c r="H147" i="1"/>
  <c r="H162" i="1"/>
  <c r="I147" i="1"/>
  <c r="I169" i="1" s="1"/>
  <c r="I162" i="1"/>
  <c r="C12" i="10"/>
  <c r="C13" i="10"/>
  <c r="L250" i="1"/>
  <c r="L332" i="1"/>
  <c r="E113" i="2" s="1"/>
  <c r="L254" i="1"/>
  <c r="L268" i="1"/>
  <c r="C142" i="2" s="1"/>
  <c r="L269" i="1"/>
  <c r="C143" i="2" s="1"/>
  <c r="L349" i="1"/>
  <c r="L350" i="1"/>
  <c r="I665" i="1"/>
  <c r="I670" i="1"/>
  <c r="H662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H552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L270" i="1" s="1"/>
  <c r="G270" i="1"/>
  <c r="F270" i="1"/>
  <c r="C132" i="2"/>
  <c r="C131" i="2"/>
  <c r="A1" i="2"/>
  <c r="A2" i="2"/>
  <c r="C8" i="2"/>
  <c r="C18" i="2" s="1"/>
  <c r="D8" i="2"/>
  <c r="D18" i="2" s="1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F56" i="2"/>
  <c r="E57" i="2"/>
  <c r="E58" i="2"/>
  <c r="E62" i="2" s="1"/>
  <c r="E63" i="2" s="1"/>
  <c r="C59" i="2"/>
  <c r="D59" i="2"/>
  <c r="E59" i="2"/>
  <c r="F59" i="2"/>
  <c r="D60" i="2"/>
  <c r="D62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E78" i="2" s="1"/>
  <c r="E81" i="2" s="1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D91" i="2" s="1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C111" i="2"/>
  <c r="E111" i="2"/>
  <c r="E112" i="2"/>
  <c r="C113" i="2"/>
  <c r="D115" i="2"/>
  <c r="F115" i="2"/>
  <c r="G115" i="2"/>
  <c r="C118" i="2"/>
  <c r="C120" i="2"/>
  <c r="E120" i="2"/>
  <c r="E121" i="2"/>
  <c r="C122" i="2"/>
  <c r="C124" i="2"/>
  <c r="E124" i="2"/>
  <c r="E125" i="2"/>
  <c r="D127" i="2"/>
  <c r="D128" i="2" s="1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G620" i="1" s="1"/>
  <c r="F32" i="1"/>
  <c r="F52" i="1" s="1"/>
  <c r="H617" i="1" s="1"/>
  <c r="J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H192" i="1" s="1"/>
  <c r="I183" i="1"/>
  <c r="J183" i="1"/>
  <c r="J192" i="1" s="1"/>
  <c r="F188" i="1"/>
  <c r="G188" i="1"/>
  <c r="G192" i="1" s="1"/>
  <c r="H188" i="1"/>
  <c r="I188" i="1"/>
  <c r="F211" i="1"/>
  <c r="G211" i="1"/>
  <c r="H211" i="1"/>
  <c r="I211" i="1"/>
  <c r="J211" i="1"/>
  <c r="K211" i="1"/>
  <c r="K257" i="1" s="1"/>
  <c r="K271" i="1" s="1"/>
  <c r="F229" i="1"/>
  <c r="F257" i="1" s="1"/>
  <c r="F271" i="1" s="1"/>
  <c r="G229" i="1"/>
  <c r="H229" i="1"/>
  <c r="I229" i="1"/>
  <c r="J229" i="1"/>
  <c r="J257" i="1" s="1"/>
  <c r="J271" i="1" s="1"/>
  <c r="K229" i="1"/>
  <c r="F247" i="1"/>
  <c r="G247" i="1"/>
  <c r="H247" i="1"/>
  <c r="I247" i="1"/>
  <c r="J247" i="1"/>
  <c r="K247" i="1"/>
  <c r="F256" i="1"/>
  <c r="L256" i="1" s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G338" i="1" s="1"/>
  <c r="G352" i="1" s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446" i="1"/>
  <c r="G640" i="1" s="1"/>
  <c r="J640" i="1" s="1"/>
  <c r="H446" i="1"/>
  <c r="F452" i="1"/>
  <c r="G452" i="1"/>
  <c r="H452" i="1"/>
  <c r="F460" i="1"/>
  <c r="G460" i="1"/>
  <c r="H460" i="1"/>
  <c r="F461" i="1"/>
  <c r="G461" i="1"/>
  <c r="H640" i="1" s="1"/>
  <c r="H461" i="1"/>
  <c r="F470" i="1"/>
  <c r="G470" i="1"/>
  <c r="G476" i="1" s="1"/>
  <c r="H623" i="1" s="1"/>
  <c r="J623" i="1" s="1"/>
  <c r="H470" i="1"/>
  <c r="I470" i="1"/>
  <c r="J470" i="1"/>
  <c r="J476" i="1" s="1"/>
  <c r="H626" i="1" s="1"/>
  <c r="F474" i="1"/>
  <c r="F476" i="1" s="1"/>
  <c r="H622" i="1" s="1"/>
  <c r="J622" i="1" s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G545" i="1" s="1"/>
  <c r="H524" i="1"/>
  <c r="I524" i="1"/>
  <c r="J524" i="1"/>
  <c r="K524" i="1"/>
  <c r="K545" i="1" s="1"/>
  <c r="L524" i="1"/>
  <c r="F529" i="1"/>
  <c r="G529" i="1"/>
  <c r="H529" i="1"/>
  <c r="I529" i="1"/>
  <c r="I545" i="1" s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K565" i="1"/>
  <c r="L567" i="1"/>
  <c r="L568" i="1"/>
  <c r="L569" i="1"/>
  <c r="L570" i="1" s="1"/>
  <c r="F570" i="1"/>
  <c r="G570" i="1"/>
  <c r="H570" i="1"/>
  <c r="H571" i="1" s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18" i="1"/>
  <c r="G619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J639" i="1" s="1"/>
  <c r="H639" i="1"/>
  <c r="G641" i="1"/>
  <c r="J641" i="1" s="1"/>
  <c r="H641" i="1"/>
  <c r="G643" i="1"/>
  <c r="H643" i="1"/>
  <c r="G644" i="1"/>
  <c r="H644" i="1"/>
  <c r="G645" i="1"/>
  <c r="J645" i="1" s="1"/>
  <c r="H645" i="1"/>
  <c r="G651" i="1"/>
  <c r="J651" i="1" s="1"/>
  <c r="G652" i="1"/>
  <c r="H652" i="1"/>
  <c r="G653" i="1"/>
  <c r="H653" i="1"/>
  <c r="G654" i="1"/>
  <c r="H654" i="1"/>
  <c r="H655" i="1"/>
  <c r="J655" i="1" s="1"/>
  <c r="F192" i="1"/>
  <c r="G257" i="1"/>
  <c r="G271" i="1" s="1"/>
  <c r="G164" i="2"/>
  <c r="L351" i="1"/>
  <c r="C70" i="2"/>
  <c r="D18" i="13"/>
  <c r="C18" i="13" s="1"/>
  <c r="D17" i="13"/>
  <c r="C17" i="13" s="1"/>
  <c r="C91" i="2"/>
  <c r="F78" i="2"/>
  <c r="F81" i="2" s="1"/>
  <c r="D50" i="2"/>
  <c r="E103" i="2"/>
  <c r="D29" i="13"/>
  <c r="C29" i="13" s="1"/>
  <c r="H112" i="1"/>
  <c r="J571" i="1"/>
  <c r="D81" i="2"/>
  <c r="H169" i="1"/>
  <c r="J644" i="1"/>
  <c r="J643" i="1"/>
  <c r="H476" i="1"/>
  <c r="H624" i="1" s="1"/>
  <c r="I476" i="1"/>
  <c r="H625" i="1" s="1"/>
  <c r="F169" i="1"/>
  <c r="F571" i="1"/>
  <c r="G22" i="2"/>
  <c r="K598" i="1"/>
  <c r="G647" i="1" s="1"/>
  <c r="C29" i="10"/>
  <c r="A13" i="12"/>
  <c r="J545" i="1"/>
  <c r="H338" i="1"/>
  <c r="H352" i="1" s="1"/>
  <c r="F552" i="1"/>
  <c r="E16" i="13"/>
  <c r="I571" i="1"/>
  <c r="G36" i="2"/>
  <c r="L565" i="1"/>
  <c r="H545" i="1" l="1"/>
  <c r="J552" i="1"/>
  <c r="K549" i="1"/>
  <c r="E115" i="2"/>
  <c r="E145" i="2" s="1"/>
  <c r="C115" i="2"/>
  <c r="E128" i="2"/>
  <c r="D63" i="2"/>
  <c r="K551" i="1"/>
  <c r="L544" i="1"/>
  <c r="E110" i="2"/>
  <c r="G662" i="1"/>
  <c r="H25" i="13"/>
  <c r="J624" i="1"/>
  <c r="D14" i="13"/>
  <c r="C14" i="13" s="1"/>
  <c r="D7" i="13"/>
  <c r="C7" i="13" s="1"/>
  <c r="D12" i="13"/>
  <c r="C12" i="13" s="1"/>
  <c r="L290" i="1"/>
  <c r="C26" i="10"/>
  <c r="G649" i="1"/>
  <c r="L614" i="1"/>
  <c r="K500" i="1"/>
  <c r="I460" i="1"/>
  <c r="I452" i="1"/>
  <c r="I461" i="1" s="1"/>
  <c r="H642" i="1" s="1"/>
  <c r="J642" i="1" s="1"/>
  <c r="I446" i="1"/>
  <c r="G642" i="1" s="1"/>
  <c r="D145" i="2"/>
  <c r="C119" i="2"/>
  <c r="C128" i="2" s="1"/>
  <c r="F85" i="2"/>
  <c r="F91" i="2" s="1"/>
  <c r="F104" i="2" s="1"/>
  <c r="E31" i="2"/>
  <c r="F662" i="1"/>
  <c r="J112" i="1"/>
  <c r="J193" i="1" s="1"/>
  <c r="G646" i="1" s="1"/>
  <c r="C32" i="10"/>
  <c r="G661" i="1"/>
  <c r="J647" i="1"/>
  <c r="E13" i="13"/>
  <c r="C13" i="13" s="1"/>
  <c r="C35" i="10"/>
  <c r="D6" i="13"/>
  <c r="C6" i="13" s="1"/>
  <c r="D15" i="13"/>
  <c r="C15" i="13" s="1"/>
  <c r="L534" i="1"/>
  <c r="K503" i="1"/>
  <c r="L382" i="1"/>
  <c r="G636" i="1" s="1"/>
  <c r="J636" i="1" s="1"/>
  <c r="K338" i="1"/>
  <c r="K352" i="1" s="1"/>
  <c r="E109" i="2"/>
  <c r="G81" i="2"/>
  <c r="G112" i="1"/>
  <c r="C21" i="10"/>
  <c r="F338" i="1"/>
  <c r="F352" i="1" s="1"/>
  <c r="K550" i="1"/>
  <c r="L529" i="1"/>
  <c r="G552" i="1"/>
  <c r="J649" i="1"/>
  <c r="C16" i="13"/>
  <c r="C17" i="10"/>
  <c r="C20" i="10"/>
  <c r="C18" i="10"/>
  <c r="I257" i="1"/>
  <c r="I271" i="1" s="1"/>
  <c r="H257" i="1"/>
  <c r="H271" i="1" s="1"/>
  <c r="L247" i="1"/>
  <c r="H660" i="1" s="1"/>
  <c r="L211" i="1"/>
  <c r="F660" i="1" s="1"/>
  <c r="H661" i="1"/>
  <c r="J634" i="1"/>
  <c r="F661" i="1"/>
  <c r="L362" i="1"/>
  <c r="C27" i="10" s="1"/>
  <c r="F18" i="2"/>
  <c r="J625" i="1"/>
  <c r="C81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H193" i="1"/>
  <c r="G629" i="1" s="1"/>
  <c r="J629" i="1" s="1"/>
  <c r="G169" i="1"/>
  <c r="C39" i="10" s="1"/>
  <c r="G140" i="1"/>
  <c r="F140" i="1"/>
  <c r="G63" i="2"/>
  <c r="G104" i="2" s="1"/>
  <c r="J618" i="1"/>
  <c r="G42" i="2"/>
  <c r="J51" i="1"/>
  <c r="G16" i="2"/>
  <c r="G18" i="2" s="1"/>
  <c r="J19" i="1"/>
  <c r="G621" i="1" s="1"/>
  <c r="F33" i="13"/>
  <c r="F545" i="1"/>
  <c r="H434" i="1"/>
  <c r="J620" i="1"/>
  <c r="J619" i="1"/>
  <c r="D103" i="2"/>
  <c r="D104" i="2" s="1"/>
  <c r="I140" i="1"/>
  <c r="A22" i="12"/>
  <c r="H646" i="1"/>
  <c r="G50" i="2"/>
  <c r="G51" i="2" s="1"/>
  <c r="H648" i="1"/>
  <c r="J648" i="1" s="1"/>
  <c r="J652" i="1"/>
  <c r="G571" i="1"/>
  <c r="I434" i="1"/>
  <c r="G434" i="1"/>
  <c r="E104" i="2"/>
  <c r="I663" i="1"/>
  <c r="K552" i="1" l="1"/>
  <c r="C145" i="2"/>
  <c r="G664" i="1"/>
  <c r="G672" i="1" s="1"/>
  <c r="C5" i="10" s="1"/>
  <c r="L545" i="1"/>
  <c r="E33" i="13"/>
  <c r="D35" i="13" s="1"/>
  <c r="I662" i="1"/>
  <c r="G635" i="1"/>
  <c r="J635" i="1" s="1"/>
  <c r="I193" i="1"/>
  <c r="G630" i="1" s="1"/>
  <c r="J630" i="1" s="1"/>
  <c r="D31" i="13"/>
  <c r="C31" i="13" s="1"/>
  <c r="C25" i="13"/>
  <c r="H33" i="13"/>
  <c r="C28" i="10"/>
  <c r="D23" i="10" s="1"/>
  <c r="H664" i="1"/>
  <c r="H667" i="1" s="1"/>
  <c r="L257" i="1"/>
  <c r="L271" i="1" s="1"/>
  <c r="G632" i="1" s="1"/>
  <c r="J632" i="1" s="1"/>
  <c r="I661" i="1"/>
  <c r="G667" i="1"/>
  <c r="I660" i="1"/>
  <c r="I664" i="1" s="1"/>
  <c r="I672" i="1" s="1"/>
  <c r="C7" i="10" s="1"/>
  <c r="F664" i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4" i="10"/>
  <c r="H672" i="1" l="1"/>
  <c r="C6" i="10" s="1"/>
  <c r="D10" i="10"/>
  <c r="D17" i="10"/>
  <c r="D18" i="10"/>
  <c r="D12" i="10"/>
  <c r="D27" i="10"/>
  <c r="D20" i="10"/>
  <c r="D15" i="10"/>
  <c r="D25" i="10"/>
  <c r="D19" i="10"/>
  <c r="D13" i="10"/>
  <c r="D26" i="10"/>
  <c r="D11" i="10"/>
  <c r="C30" i="10"/>
  <c r="D21" i="10"/>
  <c r="D16" i="10"/>
  <c r="D22" i="10"/>
  <c r="F672" i="1"/>
  <c r="C4" i="10" s="1"/>
  <c r="F667" i="1"/>
  <c r="I667" i="1"/>
  <c r="D28" i="10" l="1"/>
  <c r="F79" i="1"/>
  <c r="C57" i="2" s="1"/>
  <c r="C62" i="2" s="1"/>
  <c r="C63" i="2" s="1"/>
  <c r="C104" i="2" s="1"/>
  <c r="F112" i="1" l="1"/>
  <c r="F193" i="1" s="1"/>
  <c r="G627" i="1" s="1"/>
  <c r="J627" i="1" s="1"/>
  <c r="H656" i="1" l="1"/>
  <c r="C36" i="10"/>
  <c r="C41" i="10" s="1"/>
  <c r="D40" i="10" l="1"/>
  <c r="D38" i="10"/>
  <c r="D35" i="10"/>
  <c r="D39" i="10"/>
  <c r="D37" i="10"/>
  <c r="D36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<sst xmlns="http://schemas.openxmlformats.org/spreadsheetml/2006/main" count="3977" uniqueCount="930">
  <si>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</si>
  <si>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</si>
  <si>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</si>
  <si>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</si>
  <si>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</si>
  <si>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</si>
  <si>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</si>
  <si>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</si>
  <si>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</si>
  <si>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</si>
  <si>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</si>
  <si>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</si>
  <si>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</si>
  <si>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</si>
  <si>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</si>
  <si>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</si>
  <si>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</si>
  <si>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</si>
  <si>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</si>
  <si>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</si>
  <si>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</si>
  <si>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</si>
  <si>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</si>
  <si>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</si>
  <si>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</si>
  <si>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</si>
  <si>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</si>
  <si>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</si>
  <si>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</si>
  <si>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</si>
  <si>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</si>
  <si>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</si>
  <si>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</si>
  <si>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</si>
  <si>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</si>
  <si>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</si>
  <si>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</si>
  <si>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</si>
  <si>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</si>
  <si>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</si>
  <si>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</si>
  <si>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</si>
  <si>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</si>
  <si>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</si>
  <si>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</si>
  <si>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</si>
  <si>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</si>
  <si>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</si>
  <si>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</si>
  <si>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</si>
  <si>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</si>
  <si>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</si>
  <si>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</si>
  <si>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</si>
  <si>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</si>
  <si>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</si>
  <si>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</si>
  <si>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</si>
  <si>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</si>
  <si>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</si>
  <si>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</si>
  <si>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</si>
  <si>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</si>
  <si>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</si>
  <si>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</si>
  <si>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</si>
  <si>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</si>
  <si>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</si>
  <si>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</si>
  <si>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</si>
  <si>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</si>
  <si>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</si>
  <si>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</si>
  <si>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</si>
  <si>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</si>
  <si>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</si>
  <si>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</si>
  <si>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</si>
  <si>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</si>
  <si>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</si>
  <si>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</si>
  <si>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</si>
  <si>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</si>
  <si>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</si>
  <si>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</si>
  <si>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</si>
  <si>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</si>
  <si>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</si>
  <si>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</si>
  <si>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</si>
  <si>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</si>
  <si>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</si>
  <si>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</si>
  <si>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</si>
  <si>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</si>
  <si>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</si>
  <si>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</si>
  <si>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</si>
  <si>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</si>
  <si>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</si>
  <si>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</si>
  <si>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</si>
  <si>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</si>
  <si>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</si>
  <si>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</si>
  <si>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</si>
  <si>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</si>
  <si>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</si>
  <si>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</si>
  <si>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</si>
  <si>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</si>
  <si>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</si>
  <si>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</si>
  <si>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</si>
  <si>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</si>
  <si>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</si>
  <si>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</si>
  <si>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</si>
  <si>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</si>
  <si>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</si>
  <si>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</si>
  <si>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</si>
  <si>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</si>
  <si>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</si>
  <si>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</si>
  <si>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</si>
  <si>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</si>
  <si>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</si>
  <si>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</si>
  <si>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</si>
  <si>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</si>
  <si>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</si>
  <si>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</si>
  <si>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</si>
  <si>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</si>
  <si>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</si>
  <si>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</si>
  <si>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</si>
  <si>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</si>
  <si>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</si>
  <si>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</si>
  <si>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</si>
  <si>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</si>
  <si>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</si>
  <si>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</si>
  <si>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</si>
  <si>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</si>
  <si>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</si>
  <si>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</si>
  <si>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</si>
  <si>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</si>
  <si>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</si>
  <si>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</si>
  <si>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</si>
  <si>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</si>
  <si>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</si>
  <si>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</si>
  <si>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</si>
  <si>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</si>
  <si>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</si>
  <si>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</si>
  <si>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</si>
  <si>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</si>
  <si>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</si>
  <si>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</si>
  <si>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</si>
  <si>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</si>
  <si>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</si>
  <si>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</si>
  <si>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</si>
  <si>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</si>
  <si>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</si>
  <si>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</si>
  <si>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</si>
  <si>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</si>
  <si>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</si>
  <si>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</si>
  <si>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</si>
  <si>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</si>
  <si>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</si>
  <si>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</si>
  <si>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</si>
  <si>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</si>
  <si>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</si>
  <si>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</si>
  <si>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</si>
  <si>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</si>
  <si>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</si>
  <si>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</si>
  <si>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</si>
  <si>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</si>
  <si>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</si>
  <si>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</si>
  <si>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</si>
  <si>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</si>
  <si>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</si>
  <si>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</si>
  <si>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</si>
  <si>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</si>
  <si>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</si>
  <si>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</si>
  <si>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</si>
  <si>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</si>
  <si>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</si>
  <si>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</si>
  <si>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</si>
  <si>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</si>
  <si>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</si>
  <si>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</si>
  <si>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</si>
  <si>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</si>
  <si>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</si>
  <si>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</si>
  <si>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</si>
  <si>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</si>
  <si>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</si>
  <si>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</si>
  <si>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</si>
  <si>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</si>
  <si>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</si>
  <si>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</si>
  <si>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</si>
  <si>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</si>
  <si>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</si>
  <si>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</si>
  <si>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</si>
  <si>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</si>
  <si>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</si>
  <si>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</si>
  <si>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</si>
  <si>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</si>
  <si>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</si>
  <si>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</si>
  <si>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</si>
  <si>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</si>
  <si>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</si>
  <si>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</si>
  <si>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</si>
  <si>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</si>
  <si>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</si>
  <si>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</si>
  <si>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</si>
  <si>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</si>
  <si>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</si>
  <si>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</si>
  <si>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</si>
  <si>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</si>
  <si>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</si>
  <si>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</si>
  <si>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</si>
  <si>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</si>
  <si>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</si>
  <si>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</si>
  <si>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</si>
  <si>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</si>
  <si>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</si>
  <si>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</si>
  <si>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</si>
  <si>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</si>
  <si>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</si>
  <si>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</si>
  <si>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</si>
  <si>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</si>
  <si>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</si>
  <si>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</si>
  <si>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</si>
  <si>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</si>
  <si>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</si>
  <si>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</si>
  <si>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</si>
  <si>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</si>
  <si>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</si>
  <si>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</si>
  <si>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</si>
  <si>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</si>
  <si>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</si>
  <si>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</si>
  <si>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</si>
  <si>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</si>
  <si>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</si>
  <si>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</si>
  <si>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</si>
  <si>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</si>
  <si>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</si>
  <si>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</si>
  <si>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</si>
  <si>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</si>
  <si>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</si>
  <si>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</si>
  <si>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</si>
  <si>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</si>
  <si>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</si>
  <si>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</si>
  <si>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</si>
  <si>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</si>
  <si>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</si>
  <si>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</si>
  <si>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</si>
  <si>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</si>
  <si>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</si>
  <si>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</si>
  <si>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</si>
  <si>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</si>
  <si>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</si>
  <si>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</si>
  <si>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</si>
  <si>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</si>
  <si>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</si>
  <si>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</si>
  <si>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</si>
  <si>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</si>
  <si>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</si>
  <si>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</si>
  <si>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</si>
  <si>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</si>
  <si>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</si>
  <si>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</si>
  <si>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</si>
  <si>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</si>
  <si>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</si>
  <si>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</si>
  <si>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</si>
  <si>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</si>
  <si>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</si>
  <si>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</si>
  <si>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</si>
  <si>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</si>
  <si>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</si>
  <si>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</si>
  <si>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</si>
  <si>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</si>
  <si>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</si>
  <si>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</si>
  <si>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</si>
  <si>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</si>
  <si>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</si>
  <si>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</si>
  <si>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</si>
  <si>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</si>
  <si>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</si>
  <si>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</si>
  <si>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</si>
  <si>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</si>
  <si>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</si>
  <si>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</si>
  <si>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</si>
  <si>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</si>
  <si>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</si>
  <si>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</si>
  <si>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</si>
  <si>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</si>
  <si>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</si>
  <si>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</si>
  <si>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</si>
  <si>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</si>
  <si>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</si>
  <si>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</si>
  <si>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</si>
  <si>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</si>
  <si>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</si>
  <si>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</si>
  <si>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</si>
  <si>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</si>
  <si>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</si>
  <si>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</si>
  <si>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</si>
  <si>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</si>
  <si>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</si>
  <si>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</si>
  <si>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</si>
  <si>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</si>
  <si>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</si>
  <si>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</si>
  <si>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</si>
  <si>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</si>
  <si>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</si>
  <si>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</si>
  <si>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</si>
  <si>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</si>
  <si>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</si>
  <si>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</si>
  <si>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</si>
  <si>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</si>
  <si>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</si>
  <si>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</si>
  <si>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</si>
  <si>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</si>
  <si>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</si>
  <si>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</si>
  <si>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</si>
  <si>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</si>
  <si>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</si>
  <si>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</si>
  <si>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</si>
  <si>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</si>
  <si>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</si>
  <si>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</si>
  <si>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</si>
  <si>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</si>
  <si>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</si>
  <si>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</si>
  <si>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</si>
  <si>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</si>
  <si>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</si>
  <si>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</si>
  <si>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</si>
  <si>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</si>
  <si>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</si>
  <si>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</si>
  <si>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</si>
  <si>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</si>
  <si>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</si>
  <si>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</si>
  <si>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</si>
  <si>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</si>
  <si>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</si>
  <si>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</si>
  <si>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</si>
  <si>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</si>
  <si>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</si>
  <si>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</si>
  <si>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</si>
  <si>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</si>
  <si>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</si>
  <si>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</si>
  <si>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</si>
  <si>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</si>
  <si>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</si>
  <si>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</si>
  <si>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</si>
  <si>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</si>
  <si>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</si>
  <si>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</si>
  <si>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</si>
  <si>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</si>
  <si>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</si>
  <si>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</si>
  <si>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</si>
  <si>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</si>
  <si>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</si>
  <si>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</si>
  <si>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</si>
  <si>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</si>
  <si>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</si>
  <si>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</si>
  <si>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</si>
  <si>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</si>
  <si>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</si>
  <si>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</si>
  <si>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</si>
  <si>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</si>
  <si>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</si>
  <si>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</si>
  <si>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</si>
  <si>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</si>
  <si>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</si>
  <si>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</si>
  <si>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</si>
  <si>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</si>
  <si>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</si>
  <si>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</si>
  <si>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</si>
  <si>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</si>
  <si>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</si>
  <si>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</si>
  <si>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</si>
  <si>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</si>
  <si>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</si>
  <si>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</si>
  <si>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</si>
  <si>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</si>
  <si>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</si>
  <si>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</si>
  <si>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</si>
  <si>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</si>
  <si>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</si>
  <si>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</si>
  <si>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</si>
  <si>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</si>
  <si>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</si>
  <si>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</si>
  <si>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</si>
  <si>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</si>
  <si>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</si>
  <si>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</si>
  <si>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</si>
  <si>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</si>
  <si>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</si>
  <si>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</si>
  <si>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</si>
  <si>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</si>
  <si>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</si>
  <si>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</si>
  <si>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</si>
  <si>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</si>
  <si>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</si>
  <si>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</si>
  <si>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</si>
  <si>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</si>
  <si>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</si>
  <si>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</si>
  <si>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</si>
  <si>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</si>
  <si>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</si>
  <si>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</si>
  <si>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</si>
  <si>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</si>
  <si>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</si>
  <si>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</si>
  <si>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</si>
  <si>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</si>
  <si>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</si>
  <si>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</si>
  <si>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</si>
  <si>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</si>
  <si>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</si>
  <si>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</si>
  <si>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</si>
  <si>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</si>
  <si>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</si>
  <si>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</si>
  <si>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</si>
  <si>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</si>
  <si>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</si>
  <si>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</si>
  <si>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</si>
  <si>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</si>
  <si>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</si>
  <si>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</si>
  <si>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</si>
  <si>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</si>
  <si>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</si>
  <si>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</si>
  <si>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</si>
  <si>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</si>
  <si>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</si>
  <si>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</si>
  <si>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</si>
  <si>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</si>
  <si>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</si>
  <si>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</si>
  <si>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</si>
  <si>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</si>
  <si>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</si>
  <si>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</si>
  <si>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</si>
  <si>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</si>
  <si>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</si>
  <si>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</si>
  <si>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</si>
  <si>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</si>
  <si>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</si>
  <si>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</si>
  <si>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</si>
  <si>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</si>
  <si>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</si>
  <si>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</si>
  <si>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</si>
  <si>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</si>
  <si>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</si>
  <si>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</si>
  <si>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</si>
  <si>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</si>
  <si>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</si>
  <si>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</si>
  <si>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</si>
  <si>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</si>
  <si>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</si>
  <si>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</si>
  <si>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</si>
  <si>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</si>
  <si>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</si>
  <si>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</si>
  <si>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</si>
  <si>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</si>
  <si>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</si>
  <si>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</si>
  <si>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</si>
  <si>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</si>
  <si>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</si>
  <si>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</si>
  <si>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</si>
  <si>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</si>
  <si>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</si>
  <si>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</si>
  <si>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</si>
  <si>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</si>
  <si>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</si>
  <si>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</si>
  <si>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</si>
  <si>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</si>
  <si>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</si>
  <si>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</si>
  <si>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</si>
  <si>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</si>
  <si>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</si>
  <si>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</si>
  <si>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</si>
  <si>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</si>
  <si>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</si>
  <si>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</si>
  <si>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</si>
  <si>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</si>
  <si>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</si>
  <si>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</si>
  <si>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</si>
  <si>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</si>
  <si>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</si>
  <si>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</si>
  <si>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</si>
  <si>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</si>
  <si>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</si>
  <si>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</si>
  <si>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</si>
  <si>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</si>
  <si>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</si>
  <si>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</si>
  <si>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</si>
  <si>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</si>
  <si>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</si>
  <si>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</si>
  <si>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</si>
  <si>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</si>
  <si>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</si>
  <si>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</si>
  <si>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</si>
  <si>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</si>
  <si>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</si>
  <si>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</si>
  <si>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</si>
  <si>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</si>
  <si>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</si>
  <si>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</si>
  <si>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</si>
  <si>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</si>
  <si>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</si>
  <si>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</si>
  <si>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</si>
  <si>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</si>
  <si>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</si>
  <si>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</si>
  <si>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</si>
  <si>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</si>
  <si>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</si>
  <si>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</si>
  <si>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</si>
  <si>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</si>
  <si>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</si>
  <si>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</si>
  <si>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</si>
  <si>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</si>
  <si>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</si>
  <si>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</si>
  <si>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</si>
  <si>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</si>
  <si>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</si>
  <si>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</si>
  <si>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</si>
  <si>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</si>
  <si>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</si>
  <si>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</si>
  <si>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</si>
  <si>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</si>
  <si>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</si>
  <si>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</si>
  <si>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</si>
  <si>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</si>
  <si>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</si>
  <si>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</si>
  <si>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</si>
  <si>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</si>
  <si>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</si>
  <si>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</si>
  <si>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</si>
  <si>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</si>
  <si>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</si>
  <si>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</si>
  <si>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</si>
  <si>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</si>
  <si>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</si>
  <si>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</si>
  <si>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</si>
  <si>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</si>
  <si>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</si>
  <si>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</si>
  <si>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</si>
  <si>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</si>
  <si>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</si>
  <si>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</si>
  <si>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</si>
  <si>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</si>
  <si>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</si>
  <si>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</si>
  <si>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</si>
  <si>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</si>
  <si>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</si>
  <si>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</si>
  <si>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</si>
  <si>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</si>
  <si>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</si>
  <si>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</si>
  <si>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</si>
  <si>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</si>
  <si>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</si>
  <si>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</si>
  <si>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</si>
  <si>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</si>
  <si>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</si>
  <si>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</si>
  <si>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</si>
  <si>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</si>
  <si>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</si>
  <si>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</si>
  <si>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</si>
  <si>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</si>
  <si>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</si>
  <si>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</si>
  <si>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</si>
  <si>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</si>
  <si>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</si>
  <si>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</si>
  <si>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</si>
  <si>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</si>
  <si>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</si>
  <si>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</si>
  <si>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</si>
  <si>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</si>
  <si>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</si>
  <si>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</si>
  <si>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</si>
  <si>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</si>
  <si>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</si>
  <si>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</si>
  <si>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</si>
  <si>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</si>
  <si>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</si>
  <si>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</si>
  <si>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</si>
  <si>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</si>
  <si>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</si>
  <si>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</si>
  <si>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</si>
  <si>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</si>
  <si>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</si>
  <si>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</si>
  <si>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</si>
  <si>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</si>
  <si>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</si>
  <si>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</si>
  <si>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</si>
  <si>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</si>
  <si>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</si>
  <si>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</si>
  <si>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</si>
  <si>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</si>
  <si>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</si>
  <si>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</si>
  <si>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</si>
  <si>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</si>
  <si>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</si>
  <si>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</si>
  <si>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</si>
  <si>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</si>
  <si>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</si>
  <si>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</si>
  <si>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</si>
  <si>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</si>
  <si>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</si>
  <si>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</si>
  <si>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</si>
  <si>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</si>
  <si>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</si>
  <si>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</si>
  <si>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</si>
  <si>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</si>
  <si>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</si>
  <si>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</si>
  <si>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</si>
  <si>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</si>
  <si>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</si>
  <si>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</si>
  <si>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</si>
  <si>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</si>
  <si>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</si>
  <si>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</si>
  <si>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</si>
  <si>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</si>
  <si>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</si>
  <si>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</si>
  <si>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</si>
  <si>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</si>
  <si>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</si>
  <si>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</si>
  <si>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</si>
  <si>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</si>
  <si>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</si>
  <si>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</si>
  <si>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</si>
  <si>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</si>
  <si>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</si>
  <si>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</si>
  <si>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</si>
  <si>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</si>
  <si>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</si>
  <si>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</si>
  <si>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</si>
  <si>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</si>
  <si>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</si>
  <si>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</si>
  <si>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</si>
  <si>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</si>
  <si>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</si>
  <si>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</si>
  <si>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</si>
  <si>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</si>
  <si>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</si>
  <si>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</si>
  <si>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</si>
  <si>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</si>
  <si>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</si>
  <si>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</si>
  <si>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</si>
  <si>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</si>
  <si>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</si>
  <si>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</si>
  <si>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</si>
  <si>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</si>
  <si>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</si>
  <si>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</si>
  <si>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</si>
  <si>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</si>
  <si>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</si>
  <si>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</si>
  <si>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</si>
  <si>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</si>
  <si>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</si>
  <si>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</si>
  <si>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</si>
  <si>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</si>
  <si>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</si>
  <si>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</si>
  <si>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</si>
  <si>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</si>
  <si>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</si>
  <si>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</si>
  <si>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</si>
  <si>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</si>
  <si>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</si>
  <si>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</si>
  <si>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</si>
  <si>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</si>
  <si>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</si>
  <si>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</si>
  <si>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</si>
  <si>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</si>
  <si>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</si>
  <si>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</si>
  <si>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</si>
  <si>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</si>
  <si>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</si>
  <si>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</si>
  <si>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</si>
  <si>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</si>
  <si>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</si>
  <si>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</si>
  <si>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</si>
  <si>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</si>
  <si>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</si>
  <si>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</si>
  <si>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</si>
  <si>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</si>
  <si>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</si>
  <si>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</si>
  <si>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</si>
  <si>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</si>
  <si>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</si>
  <si>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</si>
  <si>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</si>
  <si>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</si>
  <si>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</si>
  <si>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</si>
  <si>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</si>
  <si>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</si>
  <si>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</si>
  <si>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</si>
  <si>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</si>
  <si>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</si>
  <si>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</si>
  <si>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</si>
  <si>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</si>
  <si>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</si>
  <si>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</si>
  <si>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</si>
  <si>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</si>
  <si>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</si>
  <si>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</si>
  <si>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</si>
  <si>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</si>
  <si>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</si>
  <si>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</si>
  <si>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</si>
  <si>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</si>
  <si>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</si>
  <si>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</si>
  <si>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</si>
  <si>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</si>
  <si>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</si>
  <si>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</si>
  <si>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</si>
  <si>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</si>
  <si>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</si>
  <si>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VARIES</t>
  </si>
  <si>
    <t>7/1/01</t>
  </si>
  <si>
    <t>7/1/03</t>
  </si>
  <si>
    <t>7/1/05</t>
  </si>
  <si>
    <t>PRIOR TO 2020</t>
  </si>
  <si>
    <t>7/1/21</t>
  </si>
  <si>
    <t>7/1/23</t>
  </si>
  <si>
    <t>7/1/25</t>
  </si>
  <si>
    <t>AFTER 2027</t>
  </si>
  <si>
    <t>3 Col. 2</t>
  </si>
  <si>
    <t>6 Col. 2</t>
  </si>
  <si>
    <t>$20,153.83 is ending inventory</t>
  </si>
  <si>
    <t>$16,454.22 is beginning inventory</t>
  </si>
  <si>
    <t>6 Col. 1</t>
  </si>
  <si>
    <t>turned over to the city.</t>
  </si>
  <si>
    <t>The $ 592,571.71 is made up of $ 53,387.14 in excess revenue and $ 539,184.57 in appropriation not spent that was</t>
  </si>
  <si>
    <t>4 Col 3</t>
  </si>
  <si>
    <t>$ 25,934.75 represents an adjustment the auditors made after the submittal of the DOE 25 for FY 2014.</t>
  </si>
  <si>
    <t>Rochester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</si>
</sst>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929</v>
      </c>
      <c r="B2" s="21">
        <v>461</v>
      </c>
      <c r="C2" s="21">
        <v>461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/>
      <c r="G9" s="18"/>
      <c r="H9" s="18"/>
      <c r="I9" s="18">
        <v>1995472.84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>
        <v>1187525.71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f>13834.56+87724.12</f>
        <v>101558.68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20153.830000000002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0</v>
      </c>
      <c r="G19" s="41">
        <f>SUM(G9:G18)</f>
        <v>121712.51</v>
      </c>
      <c r="H19" s="41">
        <f>SUM(H9:H18)</f>
        <v>1187525.71</v>
      </c>
      <c r="I19" s="41">
        <f>SUM(I9:I18)</f>
        <v>1995472.84</v>
      </c>
      <c r="J19" s="41">
        <f>SUM(J9:J18)</f>
        <v>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f>13677.86+17555.47</f>
        <v>31233.33</v>
      </c>
      <c r="H22" s="18">
        <v>1176518.1200000001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>
        <f>156.7</f>
        <v>156.69999999999999</v>
      </c>
      <c r="H24" s="18">
        <v>11007.59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31390.030000000002</v>
      </c>
      <c r="H32" s="41">
        <f>SUM(H22:H31)</f>
        <v>1187525.7100000002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20153.830000000002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>
        <v>1995472.84</v>
      </c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70168.649999999994</v>
      </c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/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0</v>
      </c>
      <c r="G51" s="41">
        <f>SUM(G35:G50)</f>
        <v>90322.48</v>
      </c>
      <c r="H51" s="41">
        <f>SUM(H35:H50)</f>
        <v>0</v>
      </c>
      <c r="I51" s="41">
        <f>SUM(I35:I50)</f>
        <v>1995472.84</v>
      </c>
      <c r="J51" s="41">
        <f>SUM(J35:J50)</f>
        <v>0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0</v>
      </c>
      <c r="G52" s="41">
        <f>G51+G32</f>
        <v>121712.51</v>
      </c>
      <c r="H52" s="41">
        <f>H51+H32</f>
        <v>1187525.7100000002</v>
      </c>
      <c r="I52" s="41">
        <f>I51+I32</f>
        <v>1995472.84</v>
      </c>
      <c r="J52" s="41">
        <f>J51+J32</f>
        <v>0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25426296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25426296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8975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7357.35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2140381.11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f>68777.29</f>
        <v>68777.289999999994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13022.79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2238513.54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702784.67+12488.19</f>
        <v>715272.86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9253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37363.93</v>
      </c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2896.25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83995.47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19793.34</v>
      </c>
      <c r="G110" s="18">
        <v>4000</v>
      </c>
      <c r="H110" s="18"/>
      <c r="I110" s="18">
        <v>1995472.84</v>
      </c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153301.99</v>
      </c>
      <c r="G111" s="41">
        <f>SUM(G96:G110)</f>
        <v>719272.86</v>
      </c>
      <c r="H111" s="41">
        <f>SUM(H96:H110)</f>
        <v>0</v>
      </c>
      <c r="I111" s="41">
        <f>SUM(I96:I110)</f>
        <v>1995472.84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27818111.529999997</v>
      </c>
      <c r="G112" s="41">
        <f>G60+G111</f>
        <v>719272.86</v>
      </c>
      <c r="H112" s="41">
        <f>H60+H79+H94+H111</f>
        <v>0</v>
      </c>
      <c r="I112" s="41">
        <f>I60+I111</f>
        <v>1995472.84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22518449.210000001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4967033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27485482.210000001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837628.61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208339.07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47157.61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9067.6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23744.32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>
        <v>71603.55</v>
      </c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1102192.8900000001</v>
      </c>
      <c r="G136" s="41">
        <f>SUM(G123:G135)</f>
        <v>95347.87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28587675.100000001</v>
      </c>
      <c r="G140" s="41">
        <f>G121+SUM(G136:G137)</f>
        <v>95347.87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61051.57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61051.57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1609713.89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295206.28000000003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116762.13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33992.519999999997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1060723.47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1209509.3700000001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852114.22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3310.69</v>
      </c>
      <c r="H161" s="18">
        <v>411424.96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852114.22</v>
      </c>
      <c r="G162" s="41">
        <f>SUM(G150:G161)</f>
        <v>1064034.1599999999</v>
      </c>
      <c r="H162" s="41">
        <f>SUM(H150:H161)</f>
        <v>3676609.15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79517.72</v>
      </c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992683.50999999989</v>
      </c>
      <c r="G169" s="41">
        <f>G147+G162+SUM(G163:G168)</f>
        <v>1064034.1599999999</v>
      </c>
      <c r="H169" s="41">
        <f>H147+H162+SUM(H163:H168)</f>
        <v>3676609.15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57398470.139999993</v>
      </c>
      <c r="G193" s="47">
        <f>G112+G140+G169+G192</f>
        <v>1878654.89</v>
      </c>
      <c r="H193" s="47">
        <f>H112+H140+H169+H192</f>
        <v>3676609.15</v>
      </c>
      <c r="I193" s="47">
        <f>I112+I140+I169+I192</f>
        <v>1995472.84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7450992.0700000003</v>
      </c>
      <c r="G197" s="18">
        <v>2559815.5699999998</v>
      </c>
      <c r="H197" s="18">
        <v>100283.91</v>
      </c>
      <c r="I197" s="18">
        <v>188102.9</v>
      </c>
      <c r="J197" s="18">
        <v>19458.39</v>
      </c>
      <c r="K197" s="18">
        <v>21000</v>
      </c>
      <c r="L197" s="19">
        <f>SUM(F197:K197)</f>
        <v>10339652.840000002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4646802.25</v>
      </c>
      <c r="G198" s="18">
        <v>1628985.87</v>
      </c>
      <c r="H198" s="18">
        <v>1269108.71</v>
      </c>
      <c r="I198" s="18">
        <v>24330.82</v>
      </c>
      <c r="J198" s="18"/>
      <c r="K198" s="18">
        <v>831.66</v>
      </c>
      <c r="L198" s="19">
        <f>SUM(F198:K198)</f>
        <v>7570059.3100000005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718869.43</v>
      </c>
      <c r="G202" s="18">
        <v>305709.7</v>
      </c>
      <c r="H202" s="18">
        <v>1698.37</v>
      </c>
      <c r="I202" s="18">
        <v>1047.5999999999999</v>
      </c>
      <c r="J202" s="18">
        <v>1260.32</v>
      </c>
      <c r="K202" s="18"/>
      <c r="L202" s="19">
        <f t="shared" ref="L202:L208" si="0">SUM(F202:K202)</f>
        <v>1028585.42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393803.72</v>
      </c>
      <c r="G203" s="18">
        <v>283231.48</v>
      </c>
      <c r="H203" s="18">
        <v>157729.12</v>
      </c>
      <c r="I203" s="18">
        <v>247352.18</v>
      </c>
      <c r="J203" s="18">
        <v>12774.79</v>
      </c>
      <c r="K203" s="18">
        <v>440.41</v>
      </c>
      <c r="L203" s="19">
        <f t="shared" si="0"/>
        <v>1095331.7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456075.07</v>
      </c>
      <c r="G204" s="18">
        <v>167837.49</v>
      </c>
      <c r="H204" s="18">
        <v>91322.45</v>
      </c>
      <c r="I204" s="18">
        <v>11613.99</v>
      </c>
      <c r="J204" s="18">
        <v>930.46</v>
      </c>
      <c r="K204" s="18">
        <v>22808.94</v>
      </c>
      <c r="L204" s="19">
        <f t="shared" si="0"/>
        <v>750588.39999999991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1244009.48</v>
      </c>
      <c r="G205" s="18">
        <v>625387.54</v>
      </c>
      <c r="H205" s="18"/>
      <c r="I205" s="18">
        <v>3916.22</v>
      </c>
      <c r="J205" s="18">
        <v>149.99</v>
      </c>
      <c r="K205" s="18">
        <v>3353</v>
      </c>
      <c r="L205" s="19">
        <f t="shared" si="0"/>
        <v>1876816.23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140298.69</v>
      </c>
      <c r="G206" s="18">
        <v>60780.32</v>
      </c>
      <c r="H206" s="18">
        <v>13974.53</v>
      </c>
      <c r="I206" s="18">
        <v>2811.4</v>
      </c>
      <c r="J206" s="18"/>
      <c r="K206" s="18">
        <v>277.81</v>
      </c>
      <c r="L206" s="19">
        <f t="shared" si="0"/>
        <v>218142.75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750483.7</v>
      </c>
      <c r="G207" s="18">
        <v>361156.06</v>
      </c>
      <c r="H207" s="18">
        <v>352100.16</v>
      </c>
      <c r="I207" s="18">
        <v>440642.74</v>
      </c>
      <c r="J207" s="18">
        <v>19307.900000000001</v>
      </c>
      <c r="K207" s="18">
        <v>27.3</v>
      </c>
      <c r="L207" s="19">
        <f t="shared" si="0"/>
        <v>1923717.8599999999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738609.29</v>
      </c>
      <c r="I208" s="18"/>
      <c r="J208" s="18"/>
      <c r="K208" s="18"/>
      <c r="L208" s="19">
        <f t="shared" si="0"/>
        <v>738609.29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>
        <v>1665.61</v>
      </c>
      <c r="H209" s="18"/>
      <c r="I209" s="18"/>
      <c r="J209" s="18"/>
      <c r="K209" s="18"/>
      <c r="L209" s="19">
        <f>SUM(F209:K209)</f>
        <v>1665.61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15801334.41</v>
      </c>
      <c r="G211" s="41">
        <f t="shared" si="1"/>
        <v>5994569.6399999997</v>
      </c>
      <c r="H211" s="41">
        <f t="shared" si="1"/>
        <v>2724826.54</v>
      </c>
      <c r="I211" s="41">
        <f t="shared" si="1"/>
        <v>919817.85</v>
      </c>
      <c r="J211" s="41">
        <f t="shared" si="1"/>
        <v>53881.85</v>
      </c>
      <c r="K211" s="41">
        <f t="shared" si="1"/>
        <v>48739.119999999995</v>
      </c>
      <c r="L211" s="41">
        <f t="shared" si="1"/>
        <v>25543169.41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3550316.69</v>
      </c>
      <c r="G215" s="18">
        <v>1544663.21</v>
      </c>
      <c r="H215" s="18">
        <v>47744.94</v>
      </c>
      <c r="I215" s="18">
        <v>72498.399999999994</v>
      </c>
      <c r="J215" s="18">
        <v>15168.96</v>
      </c>
      <c r="K215" s="18">
        <v>12253</v>
      </c>
      <c r="L215" s="19">
        <f>SUM(F215:K215)</f>
        <v>5242645.2000000011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1401890.9</v>
      </c>
      <c r="G216" s="18">
        <v>700338.68</v>
      </c>
      <c r="H216" s="18">
        <v>675559.53</v>
      </c>
      <c r="I216" s="18">
        <v>12524.87</v>
      </c>
      <c r="J216" s="18">
        <v>810.33</v>
      </c>
      <c r="K216" s="18">
        <v>1000</v>
      </c>
      <c r="L216" s="19">
        <f>SUM(F216:K216)</f>
        <v>2792124.3100000005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35492.71</v>
      </c>
      <c r="G218" s="18">
        <v>10441.77</v>
      </c>
      <c r="H218" s="18">
        <v>5185.5200000000004</v>
      </c>
      <c r="I218" s="18">
        <v>1664.74</v>
      </c>
      <c r="J218" s="18">
        <v>3306.67</v>
      </c>
      <c r="K218" s="18">
        <v>4854.7299999999996</v>
      </c>
      <c r="L218" s="19">
        <f>SUM(F218:K218)</f>
        <v>60946.14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460744.62</v>
      </c>
      <c r="G220" s="18">
        <v>200951.04000000001</v>
      </c>
      <c r="H220" s="18">
        <v>1020.54</v>
      </c>
      <c r="I220" s="18">
        <v>1188.69</v>
      </c>
      <c r="J220" s="18">
        <v>623.41999999999996</v>
      </c>
      <c r="K220" s="18"/>
      <c r="L220" s="19">
        <f t="shared" ref="L220:L226" si="2">SUM(F220:K220)</f>
        <v>664528.31000000006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205742.58</v>
      </c>
      <c r="G221" s="18">
        <v>153335.85999999999</v>
      </c>
      <c r="H221" s="18">
        <v>78021.09</v>
      </c>
      <c r="I221" s="18">
        <v>72590.89</v>
      </c>
      <c r="J221" s="18">
        <v>7602.42</v>
      </c>
      <c r="K221" s="18">
        <v>217.85</v>
      </c>
      <c r="L221" s="19">
        <f t="shared" si="2"/>
        <v>517510.68999999989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225598.63</v>
      </c>
      <c r="G222" s="18">
        <v>83021.210000000006</v>
      </c>
      <c r="H222" s="18">
        <v>45172.86</v>
      </c>
      <c r="I222" s="18">
        <v>5744.88</v>
      </c>
      <c r="J222" s="18">
        <v>460.26</v>
      </c>
      <c r="K222" s="18">
        <v>11282.5</v>
      </c>
      <c r="L222" s="19">
        <f t="shared" si="2"/>
        <v>371280.34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339289.29</v>
      </c>
      <c r="G223" s="18">
        <v>157536.81</v>
      </c>
      <c r="H223" s="18">
        <v>5575.49</v>
      </c>
      <c r="I223" s="18">
        <v>8386.25</v>
      </c>
      <c r="J223" s="18"/>
      <c r="K223" s="18"/>
      <c r="L223" s="19">
        <f t="shared" si="2"/>
        <v>510787.83999999997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69399.08</v>
      </c>
      <c r="G224" s="18">
        <v>30065.119999999999</v>
      </c>
      <c r="H224" s="18">
        <v>6912.53</v>
      </c>
      <c r="I224" s="18">
        <v>1390.67</v>
      </c>
      <c r="J224" s="18"/>
      <c r="K224" s="18">
        <v>137.41999999999999</v>
      </c>
      <c r="L224" s="19">
        <f t="shared" si="2"/>
        <v>107904.81999999999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317471.21999999997</v>
      </c>
      <c r="G225" s="18">
        <v>150409.10999999999</v>
      </c>
      <c r="H225" s="18">
        <v>160730.93</v>
      </c>
      <c r="I225" s="18">
        <v>216218.35</v>
      </c>
      <c r="J225" s="18">
        <v>9663.2999999999993</v>
      </c>
      <c r="K225" s="18">
        <v>13.3</v>
      </c>
      <c r="L225" s="19">
        <f t="shared" si="2"/>
        <v>854506.21000000008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496629.29</v>
      </c>
      <c r="I226" s="18"/>
      <c r="J226" s="18"/>
      <c r="K226" s="18"/>
      <c r="L226" s="19">
        <f t="shared" si="2"/>
        <v>496629.29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>
        <v>823.9</v>
      </c>
      <c r="H227" s="18"/>
      <c r="I227" s="18"/>
      <c r="J227" s="18"/>
      <c r="K227" s="18"/>
      <c r="L227" s="19">
        <f>SUM(F227:K227)</f>
        <v>823.9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6605945.7199999997</v>
      </c>
      <c r="G229" s="41">
        <f>SUM(G215:G228)</f>
        <v>3031586.71</v>
      </c>
      <c r="H229" s="41">
        <f>SUM(H215:H228)</f>
        <v>1522552.72</v>
      </c>
      <c r="I229" s="41">
        <f>SUM(I215:I228)</f>
        <v>392207.74</v>
      </c>
      <c r="J229" s="41">
        <f>SUM(J215:J228)</f>
        <v>37635.359999999993</v>
      </c>
      <c r="K229" s="41">
        <f t="shared" si="3"/>
        <v>29758.799999999996</v>
      </c>
      <c r="L229" s="41">
        <f t="shared" si="3"/>
        <v>11619687.050000001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4197347.0599999996</v>
      </c>
      <c r="G233" s="18">
        <v>1729030.54</v>
      </c>
      <c r="H233" s="18">
        <v>68921.899999999994</v>
      </c>
      <c r="I233" s="18">
        <v>96984.38</v>
      </c>
      <c r="J233" s="18">
        <v>26360.240000000002</v>
      </c>
      <c r="K233" s="18">
        <v>30705</v>
      </c>
      <c r="L233" s="19">
        <f>SUM(F233:K233)</f>
        <v>6149349.1200000001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1156288.98</v>
      </c>
      <c r="G234" s="18">
        <v>531396.91</v>
      </c>
      <c r="H234" s="18">
        <v>1589965.69</v>
      </c>
      <c r="I234" s="18">
        <v>11278.74</v>
      </c>
      <c r="J234" s="18">
        <v>1516</v>
      </c>
      <c r="K234" s="18">
        <v>678.34</v>
      </c>
      <c r="L234" s="19">
        <f>SUM(F234:K234)</f>
        <v>3291124.66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1138648.97</v>
      </c>
      <c r="G235" s="18">
        <v>523977.89</v>
      </c>
      <c r="H235" s="18">
        <v>56611.43</v>
      </c>
      <c r="I235" s="18">
        <v>40996.53</v>
      </c>
      <c r="J235" s="18">
        <v>7656.61</v>
      </c>
      <c r="K235" s="18"/>
      <c r="L235" s="19">
        <f>SUM(F235:K235)</f>
        <v>1767891.43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283774.89</v>
      </c>
      <c r="G236" s="18">
        <v>87940.38</v>
      </c>
      <c r="H236" s="18">
        <v>46669.61</v>
      </c>
      <c r="I236" s="18">
        <v>14982.65</v>
      </c>
      <c r="J236" s="18">
        <v>29760.06</v>
      </c>
      <c r="K236" s="18">
        <v>43692.6</v>
      </c>
      <c r="L236" s="19">
        <f>SUM(F236:K236)</f>
        <v>506820.19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698695.81</v>
      </c>
      <c r="G238" s="18">
        <v>287500.86</v>
      </c>
      <c r="H238" s="18">
        <v>3255.27</v>
      </c>
      <c r="I238" s="18">
        <v>8004.65</v>
      </c>
      <c r="J238" s="18">
        <v>924.46</v>
      </c>
      <c r="K238" s="18">
        <v>350</v>
      </c>
      <c r="L238" s="19">
        <f t="shared" ref="L238:L244" si="4">SUM(F238:K238)</f>
        <v>998731.05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279022.44</v>
      </c>
      <c r="G239" s="18">
        <v>187445.59</v>
      </c>
      <c r="H239" s="18">
        <v>115696.13</v>
      </c>
      <c r="I239" s="18">
        <v>25274.18</v>
      </c>
      <c r="J239" s="18">
        <v>14062.95</v>
      </c>
      <c r="K239" s="18">
        <v>323.04000000000002</v>
      </c>
      <c r="L239" s="19">
        <f t="shared" si="4"/>
        <v>621824.33000000007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443900.07</v>
      </c>
      <c r="G240" s="18">
        <v>238198.96</v>
      </c>
      <c r="H240" s="18">
        <v>67026.759999999995</v>
      </c>
      <c r="I240" s="18">
        <v>11865.4</v>
      </c>
      <c r="J240" s="18">
        <v>1800.4</v>
      </c>
      <c r="K240" s="18">
        <v>16730.62</v>
      </c>
      <c r="L240" s="19">
        <f t="shared" si="4"/>
        <v>779522.21000000008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599477.96</v>
      </c>
      <c r="G241" s="18">
        <v>204754.64</v>
      </c>
      <c r="H241" s="18">
        <v>21961.9</v>
      </c>
      <c r="I241" s="18">
        <v>8684.18</v>
      </c>
      <c r="J241" s="18"/>
      <c r="K241" s="18">
        <v>11269.95</v>
      </c>
      <c r="L241" s="19">
        <f t="shared" si="4"/>
        <v>846148.63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102910.73</v>
      </c>
      <c r="G242" s="18">
        <v>44583.07</v>
      </c>
      <c r="H242" s="18">
        <v>10250.469999999999</v>
      </c>
      <c r="I242" s="18">
        <v>2062.1999999999998</v>
      </c>
      <c r="J242" s="18"/>
      <c r="K242" s="18">
        <v>203.77</v>
      </c>
      <c r="L242" s="19">
        <f t="shared" si="4"/>
        <v>160010.23999999999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571047.52</v>
      </c>
      <c r="G243" s="18">
        <v>263598.81</v>
      </c>
      <c r="H243" s="18">
        <v>366008.11</v>
      </c>
      <c r="I243" s="18">
        <f>421832.98-0.02</f>
        <v>421832.95999999996</v>
      </c>
      <c r="J243" s="18">
        <f>16980.64-0.01</f>
        <v>16980.63</v>
      </c>
      <c r="K243" s="18">
        <v>29.4</v>
      </c>
      <c r="L243" s="19">
        <f t="shared" si="4"/>
        <v>1639497.4299999997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736762.95</v>
      </c>
      <c r="I244" s="18"/>
      <c r="J244" s="18"/>
      <c r="K244" s="18"/>
      <c r="L244" s="19">
        <f t="shared" si="4"/>
        <v>736762.95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>
        <v>1221.74</v>
      </c>
      <c r="H245" s="18"/>
      <c r="I245" s="18"/>
      <c r="J245" s="18"/>
      <c r="K245" s="18"/>
      <c r="L245" s="19">
        <f>SUM(F245:K245)</f>
        <v>1221.74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9471114.4299999997</v>
      </c>
      <c r="G247" s="41">
        <f t="shared" si="5"/>
        <v>4099649.39</v>
      </c>
      <c r="H247" s="41">
        <f t="shared" si="5"/>
        <v>3083130.2199999997</v>
      </c>
      <c r="I247" s="41">
        <f t="shared" si="5"/>
        <v>641965.87</v>
      </c>
      <c r="J247" s="41">
        <f t="shared" si="5"/>
        <v>99061.35</v>
      </c>
      <c r="K247" s="41">
        <f t="shared" si="5"/>
        <v>103982.71999999999</v>
      </c>
      <c r="L247" s="41">
        <f t="shared" si="5"/>
        <v>17498903.98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f>1217.7</f>
        <v>1217.7</v>
      </c>
      <c r="G251" s="18">
        <f>93.16+55</f>
        <v>148.16</v>
      </c>
      <c r="H251" s="18"/>
      <c r="I251" s="18">
        <v>46.5</v>
      </c>
      <c r="J251" s="18"/>
      <c r="K251" s="18"/>
      <c r="L251" s="19">
        <f t="shared" si="6"/>
        <v>1412.3600000000001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1217.7</v>
      </c>
      <c r="G256" s="41">
        <f t="shared" si="7"/>
        <v>148.16</v>
      </c>
      <c r="H256" s="41">
        <f t="shared" si="7"/>
        <v>0</v>
      </c>
      <c r="I256" s="41">
        <f t="shared" si="7"/>
        <v>46.5</v>
      </c>
      <c r="J256" s="41">
        <f t="shared" si="7"/>
        <v>0</v>
      </c>
      <c r="K256" s="41">
        <f t="shared" si="7"/>
        <v>0</v>
      </c>
      <c r="L256" s="41">
        <f>SUM(F256:K256)</f>
        <v>1412.3600000000001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31879612.259999998</v>
      </c>
      <c r="G257" s="41">
        <f t="shared" si="8"/>
        <v>13125953.9</v>
      </c>
      <c r="H257" s="41">
        <f t="shared" si="8"/>
        <v>7330509.4799999995</v>
      </c>
      <c r="I257" s="41">
        <f t="shared" si="8"/>
        <v>1954037.96</v>
      </c>
      <c r="J257" s="41">
        <f t="shared" si="8"/>
        <v>190578.56</v>
      </c>
      <c r="K257" s="41">
        <f t="shared" si="8"/>
        <v>182480.63999999996</v>
      </c>
      <c r="L257" s="41">
        <f t="shared" si="8"/>
        <v>54663172.799999997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1811344.26</v>
      </c>
      <c r="L260" s="19">
        <f>SUM(F260:K260)</f>
        <v>1811344.26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331381.37</v>
      </c>
      <c r="L261" s="19">
        <f>SUM(F261:K261)</f>
        <v>331381.37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2142725.63</v>
      </c>
      <c r="L270" s="41">
        <f t="shared" si="9"/>
        <v>2142725.63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31879612.259999998</v>
      </c>
      <c r="G271" s="42">
        <f t="shared" si="11"/>
        <v>13125953.9</v>
      </c>
      <c r="H271" s="42">
        <f t="shared" si="11"/>
        <v>7330509.4799999995</v>
      </c>
      <c r="I271" s="42">
        <f t="shared" si="11"/>
        <v>1954037.96</v>
      </c>
      <c r="J271" s="42">
        <f t="shared" si="11"/>
        <v>190578.56</v>
      </c>
      <c r="K271" s="42">
        <f t="shared" si="11"/>
        <v>2325206.27</v>
      </c>
      <c r="L271" s="42">
        <f t="shared" si="11"/>
        <v>56805898.43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57858.81</v>
      </c>
      <c r="G276" s="18">
        <v>18303.21</v>
      </c>
      <c r="H276" s="18">
        <v>104314.45</v>
      </c>
      <c r="I276" s="18">
        <v>2750.95</v>
      </c>
      <c r="J276" s="18"/>
      <c r="K276" s="18"/>
      <c r="L276" s="19">
        <f>SUM(F276:K276)</f>
        <v>183227.41999999998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1031260.5-0.03</f>
        <v>1031260.47</v>
      </c>
      <c r="G277" s="18">
        <v>441528.4</v>
      </c>
      <c r="H277" s="18">
        <v>11477.27</v>
      </c>
      <c r="I277" s="18">
        <v>21402.52</v>
      </c>
      <c r="J277" s="18">
        <v>371.61</v>
      </c>
      <c r="K277" s="18"/>
      <c r="L277" s="19">
        <f>SUM(F277:K277)</f>
        <v>1506040.2700000003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>
        <v>730.27</v>
      </c>
      <c r="J278" s="18"/>
      <c r="K278" s="18"/>
      <c r="L278" s="19">
        <f>SUM(F278:K278)</f>
        <v>730.27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2927.76</v>
      </c>
      <c r="G281" s="18">
        <v>893.53</v>
      </c>
      <c r="H281" s="18"/>
      <c r="I281" s="18">
        <v>1250.45</v>
      </c>
      <c r="J281" s="18"/>
      <c r="K281" s="18"/>
      <c r="L281" s="19">
        <f t="shared" ref="L281:L287" si="12">SUM(F281:K281)</f>
        <v>5071.74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76185.3</v>
      </c>
      <c r="G282" s="18">
        <v>28063.79</v>
      </c>
      <c r="H282" s="18">
        <v>32863.279999999999</v>
      </c>
      <c r="I282" s="18">
        <v>3418.59</v>
      </c>
      <c r="J282" s="18"/>
      <c r="K282" s="18"/>
      <c r="L282" s="19">
        <f t="shared" si="12"/>
        <v>140530.96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141218.34</v>
      </c>
      <c r="G283" s="18">
        <v>58420.89</v>
      </c>
      <c r="H283" s="18">
        <v>44767.64</v>
      </c>
      <c r="I283" s="18">
        <v>6548.13</v>
      </c>
      <c r="J283" s="18">
        <v>988.7</v>
      </c>
      <c r="K283" s="18">
        <v>50</v>
      </c>
      <c r="L283" s="19">
        <f t="shared" si="12"/>
        <v>251993.7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33689.43</v>
      </c>
      <c r="L285" s="19">
        <f t="shared" si="12"/>
        <v>33689.43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20689.97</v>
      </c>
      <c r="I287" s="18"/>
      <c r="J287" s="18"/>
      <c r="K287" s="18"/>
      <c r="L287" s="19">
        <f t="shared" si="12"/>
        <v>20689.97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>
        <v>43.5</v>
      </c>
      <c r="J288" s="18"/>
      <c r="K288" s="18">
        <v>55277.13</v>
      </c>
      <c r="L288" s="19">
        <f>SUM(F288:K288)</f>
        <v>55320.63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1309450.6800000002</v>
      </c>
      <c r="G290" s="42">
        <f t="shared" si="13"/>
        <v>547209.82000000007</v>
      </c>
      <c r="H290" s="42">
        <f t="shared" si="13"/>
        <v>214112.61000000002</v>
      </c>
      <c r="I290" s="42">
        <f t="shared" si="13"/>
        <v>36144.410000000003</v>
      </c>
      <c r="J290" s="42">
        <f t="shared" si="13"/>
        <v>1360.31</v>
      </c>
      <c r="K290" s="42">
        <f t="shared" si="13"/>
        <v>89016.56</v>
      </c>
      <c r="L290" s="41">
        <f t="shared" si="13"/>
        <v>2197294.39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27235.279999999999</v>
      </c>
      <c r="G295" s="18">
        <v>8767.11</v>
      </c>
      <c r="H295" s="18">
        <v>51599.4</v>
      </c>
      <c r="I295" s="18">
        <v>1136.1199999999999</v>
      </c>
      <c r="J295" s="18"/>
      <c r="K295" s="18"/>
      <c r="L295" s="19">
        <f>SUM(F295:K295)</f>
        <v>88737.91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200809.04</v>
      </c>
      <c r="G296" s="18">
        <v>75857.17</v>
      </c>
      <c r="H296" s="18">
        <v>4588.8999999999996</v>
      </c>
      <c r="I296" s="18">
        <v>1294.3</v>
      </c>
      <c r="J296" s="18">
        <v>183.82</v>
      </c>
      <c r="K296" s="18"/>
      <c r="L296" s="19">
        <f>SUM(F296:K296)</f>
        <v>282733.23000000004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>
        <v>361.23</v>
      </c>
      <c r="J297" s="18"/>
      <c r="K297" s="18"/>
      <c r="L297" s="19">
        <f>SUM(F297:K297)</f>
        <v>361.23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1448.22</v>
      </c>
      <c r="G300" s="18">
        <v>441.99</v>
      </c>
      <c r="H300" s="18"/>
      <c r="I300" s="18">
        <v>618.54</v>
      </c>
      <c r="J300" s="18"/>
      <c r="K300" s="18"/>
      <c r="L300" s="19">
        <f t="shared" ref="L300:L306" si="14">SUM(F300:K300)</f>
        <v>2508.75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25557.34</v>
      </c>
      <c r="G301" s="18">
        <v>7103.71</v>
      </c>
      <c r="H301" s="18">
        <v>16203.27</v>
      </c>
      <c r="I301" s="18">
        <v>230.98</v>
      </c>
      <c r="J301" s="18"/>
      <c r="K301" s="18"/>
      <c r="L301" s="19">
        <f t="shared" si="14"/>
        <v>49095.3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28380.63</v>
      </c>
      <c r="G302" s="18">
        <v>11859.85</v>
      </c>
      <c r="H302" s="18">
        <v>19544.29</v>
      </c>
      <c r="I302" s="18">
        <v>2415.48</v>
      </c>
      <c r="J302" s="18">
        <v>489.07</v>
      </c>
      <c r="K302" s="18"/>
      <c r="L302" s="19">
        <f t="shared" si="14"/>
        <v>62689.320000000007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>
        <v>16117.95</v>
      </c>
      <c r="L304" s="19">
        <f t="shared" si="14"/>
        <v>16117.95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v>10234.34</v>
      </c>
      <c r="I306" s="18"/>
      <c r="J306" s="18"/>
      <c r="K306" s="18"/>
      <c r="L306" s="19">
        <f t="shared" si="14"/>
        <v>10234.34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>
        <v>21.52</v>
      </c>
      <c r="J307" s="18"/>
      <c r="K307" s="18">
        <v>27342.959999999999</v>
      </c>
      <c r="L307" s="19">
        <f>SUM(F307:K307)</f>
        <v>27364.48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283430.51</v>
      </c>
      <c r="G309" s="42">
        <f t="shared" si="15"/>
        <v>104029.83000000002</v>
      </c>
      <c r="H309" s="42">
        <f t="shared" si="15"/>
        <v>102170.20000000001</v>
      </c>
      <c r="I309" s="42">
        <f t="shared" si="15"/>
        <v>6078.17</v>
      </c>
      <c r="J309" s="42">
        <f t="shared" si="15"/>
        <v>672.89</v>
      </c>
      <c r="K309" s="42">
        <f t="shared" si="15"/>
        <v>43460.91</v>
      </c>
      <c r="L309" s="41">
        <f t="shared" si="15"/>
        <v>539842.51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40386.730000000003</v>
      </c>
      <c r="G314" s="18">
        <v>13000.59</v>
      </c>
      <c r="H314" s="18">
        <v>76515.86</v>
      </c>
      <c r="I314" s="18">
        <v>1684.74</v>
      </c>
      <c r="J314" s="18"/>
      <c r="K314" s="18"/>
      <c r="L314" s="19">
        <f>SUM(F314:K314)</f>
        <v>131587.92000000001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297776.27</v>
      </c>
      <c r="G315" s="18">
        <v>112487.29</v>
      </c>
      <c r="H315" s="18">
        <v>6804.81</v>
      </c>
      <c r="I315" s="18">
        <v>1919.3</v>
      </c>
      <c r="J315" s="18">
        <v>272.58</v>
      </c>
      <c r="K315" s="18"/>
      <c r="L315" s="19">
        <f>SUM(F315:K315)</f>
        <v>419260.25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>
        <v>42509.08</v>
      </c>
      <c r="I316" s="18">
        <v>5211.84</v>
      </c>
      <c r="J316" s="18">
        <v>69532.179999999993</v>
      </c>
      <c r="K316" s="18">
        <v>7020.86</v>
      </c>
      <c r="L316" s="19">
        <f>SUM(F316:K316)</f>
        <v>124273.95999999999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2147.54</v>
      </c>
      <c r="G319" s="18">
        <v>655.42</v>
      </c>
      <c r="H319" s="18"/>
      <c r="I319" s="18">
        <v>917.22</v>
      </c>
      <c r="J319" s="18"/>
      <c r="K319" s="18"/>
      <c r="L319" s="19">
        <f t="shared" ref="L319:L325" si="16">SUM(F319:K319)</f>
        <v>3720.1800000000003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37898.54</v>
      </c>
      <c r="G320" s="18">
        <v>10533.97</v>
      </c>
      <c r="H320" s="18">
        <v>24027.55</v>
      </c>
      <c r="I320" s="18">
        <v>456.09</v>
      </c>
      <c r="J320" s="18"/>
      <c r="K320" s="18"/>
      <c r="L320" s="19">
        <f t="shared" si="16"/>
        <v>72916.149999999994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42085.15</v>
      </c>
      <c r="G321" s="18">
        <v>17586.759999999998</v>
      </c>
      <c r="H321" s="18">
        <v>28981.88</v>
      </c>
      <c r="I321" s="18">
        <v>3581.89</v>
      </c>
      <c r="J321" s="18">
        <v>725.23</v>
      </c>
      <c r="K321" s="18"/>
      <c r="L321" s="19">
        <f t="shared" si="16"/>
        <v>92960.91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>
        <v>28594.55</v>
      </c>
      <c r="L323" s="19">
        <f t="shared" si="16"/>
        <v>28594.55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15176.33</v>
      </c>
      <c r="I325" s="18"/>
      <c r="J325" s="18"/>
      <c r="K325" s="18"/>
      <c r="L325" s="19">
        <f t="shared" si="16"/>
        <v>15176.33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>
        <v>31.91</v>
      </c>
      <c r="J326" s="18"/>
      <c r="K326" s="18">
        <v>40546.410000000003</v>
      </c>
      <c r="L326" s="19">
        <f>SUM(F326:K326)</f>
        <v>40578.320000000007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420294.23</v>
      </c>
      <c r="G328" s="42">
        <f t="shared" si="17"/>
        <v>154264.03</v>
      </c>
      <c r="H328" s="42">
        <f t="shared" si="17"/>
        <v>194015.50999999998</v>
      </c>
      <c r="I328" s="42">
        <f t="shared" si="17"/>
        <v>13802.99</v>
      </c>
      <c r="J328" s="42">
        <f t="shared" si="17"/>
        <v>70529.989999999991</v>
      </c>
      <c r="K328" s="42">
        <f t="shared" si="17"/>
        <v>76161.820000000007</v>
      </c>
      <c r="L328" s="41">
        <f t="shared" si="17"/>
        <v>929068.57000000007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>
        <v>2604.0100000000002</v>
      </c>
      <c r="I332" s="18"/>
      <c r="J332" s="18"/>
      <c r="K332" s="18"/>
      <c r="L332" s="19">
        <f t="shared" ref="L332:L337" si="18">SUM(F332:K332)</f>
        <v>2604.0100000000002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32002.7</v>
      </c>
      <c r="G333" s="18">
        <v>3057.9</v>
      </c>
      <c r="H333" s="18">
        <v>72.3</v>
      </c>
      <c r="I333" s="18">
        <v>4684.41</v>
      </c>
      <c r="J333" s="18"/>
      <c r="K333" s="18"/>
      <c r="L333" s="19">
        <f t="shared" si="18"/>
        <v>39817.31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32002.7</v>
      </c>
      <c r="G337" s="41">
        <f t="shared" si="19"/>
        <v>3057.9</v>
      </c>
      <c r="H337" s="41">
        <f t="shared" si="19"/>
        <v>2676.3100000000004</v>
      </c>
      <c r="I337" s="41">
        <f t="shared" si="19"/>
        <v>4684.41</v>
      </c>
      <c r="J337" s="41">
        <f t="shared" si="19"/>
        <v>0</v>
      </c>
      <c r="K337" s="41">
        <f t="shared" si="19"/>
        <v>0</v>
      </c>
      <c r="L337" s="41">
        <f t="shared" si="18"/>
        <v>42421.319999999992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2045178.12</v>
      </c>
      <c r="G338" s="41">
        <f t="shared" si="20"/>
        <v>808561.58000000019</v>
      </c>
      <c r="H338" s="41">
        <f t="shared" si="20"/>
        <v>512974.63000000006</v>
      </c>
      <c r="I338" s="41">
        <f t="shared" si="20"/>
        <v>60709.979999999996</v>
      </c>
      <c r="J338" s="41">
        <f t="shared" si="20"/>
        <v>72563.189999999988</v>
      </c>
      <c r="K338" s="41">
        <f t="shared" si="20"/>
        <v>208639.29</v>
      </c>
      <c r="L338" s="41">
        <f t="shared" si="20"/>
        <v>3708626.7900000005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2045178.12</v>
      </c>
      <c r="G352" s="41">
        <f>G338</f>
        <v>808561.58000000019</v>
      </c>
      <c r="H352" s="41">
        <f>H338</f>
        <v>512974.63000000006</v>
      </c>
      <c r="I352" s="41">
        <f>I338</f>
        <v>60709.979999999996</v>
      </c>
      <c r="J352" s="41">
        <f>J338</f>
        <v>72563.189999999988</v>
      </c>
      <c r="K352" s="47">
        <f>K338+K351</f>
        <v>208639.29</v>
      </c>
      <c r="L352" s="41">
        <f>L338+L351</f>
        <v>3708626.7900000005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258757.56+0.01</f>
        <v>258757.57</v>
      </c>
      <c r="G358" s="18">
        <v>90299.08</v>
      </c>
      <c r="H358" s="18">
        <v>167086.18</v>
      </c>
      <c r="I358" s="18">
        <v>373701.91</v>
      </c>
      <c r="J358" s="18">
        <v>3310.69</v>
      </c>
      <c r="K358" s="18">
        <v>1116.8</v>
      </c>
      <c r="L358" s="13">
        <f>SUM(F358:K358)</f>
        <v>894272.23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100740.48</v>
      </c>
      <c r="G359" s="18">
        <v>33952.959999999999</v>
      </c>
      <c r="H359" s="18">
        <v>80754.64</v>
      </c>
      <c r="I359" s="18">
        <v>150908.54999999999</v>
      </c>
      <c r="J359" s="18"/>
      <c r="K359" s="18"/>
      <c r="L359" s="19">
        <f>SUM(F359:K359)</f>
        <v>366356.63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153988.59</v>
      </c>
      <c r="G360" s="18">
        <v>50125.77</v>
      </c>
      <c r="H360" s="18">
        <v>119963.3</v>
      </c>
      <c r="I360" s="18">
        <v>223779.72</v>
      </c>
      <c r="J360" s="18"/>
      <c r="K360" s="18"/>
      <c r="L360" s="19">
        <f>SUM(F360:K360)</f>
        <v>547857.38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513486.64</v>
      </c>
      <c r="G362" s="47">
        <f t="shared" si="22"/>
        <v>174377.81</v>
      </c>
      <c r="H362" s="47">
        <f t="shared" si="22"/>
        <v>367804.12</v>
      </c>
      <c r="I362" s="47">
        <f t="shared" si="22"/>
        <v>748390.17999999993</v>
      </c>
      <c r="J362" s="47">
        <f t="shared" si="22"/>
        <v>3310.69</v>
      </c>
      <c r="K362" s="47">
        <f t="shared" si="22"/>
        <v>1116.8</v>
      </c>
      <c r="L362" s="47">
        <f t="shared" si="22"/>
        <v>1808486.2399999998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339573</v>
      </c>
      <c r="G367" s="18">
        <v>136338.07</v>
      </c>
      <c r="H367" s="18">
        <v>202173.39</v>
      </c>
      <c r="I367" s="56">
        <f>SUM(F367:H367)</f>
        <v>678084.46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34128.910000000003</v>
      </c>
      <c r="G368" s="63">
        <v>14570.49</v>
      </c>
      <c r="H368" s="63">
        <v>21606.32</v>
      </c>
      <c r="I368" s="56">
        <f>SUM(F368:H368)</f>
        <v>70305.72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373701.91000000003</v>
      </c>
      <c r="G369" s="47">
        <f>SUM(G367:G368)</f>
        <v>150908.56</v>
      </c>
      <c r="H369" s="47">
        <f>SUM(H367:H368)</f>
        <v>223779.71000000002</v>
      </c>
      <c r="I369" s="47">
        <f>SUM(I367:I368)</f>
        <v>748390.17999999993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>
        <f>10140100.29+1899412+63758.84+5203.52</f>
        <v>12108474.649999999</v>
      </c>
      <c r="I378" s="18"/>
      <c r="J378" s="4"/>
      <c r="K378" s="18"/>
      <c r="L378" s="13">
        <f t="shared" si="23"/>
        <v>12108474.649999999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f>1400+119868+720400+0.96+63930+190000+159783+239.67+502.45+1221.39+830.5+100000</f>
        <v>1358175.9699999997</v>
      </c>
      <c r="I379" s="18"/>
      <c r="J379" s="4"/>
      <c r="K379" s="18"/>
      <c r="L379" s="13">
        <f t="shared" si="23"/>
        <v>1358175.9699999997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13466650.619999997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13466650.619999997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/>
      <c r="G465" s="18">
        <v>16454.22</v>
      </c>
      <c r="H465" s="18">
        <v>6082.89</v>
      </c>
      <c r="I465" s="18">
        <v>13466650.619999999</v>
      </c>
      <c r="J465" s="18"/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57398470.140000001</v>
      </c>
      <c r="G468" s="18">
        <f>71603.55+1807051.34</f>
        <v>1878654.8900000001</v>
      </c>
      <c r="H468" s="18">
        <v>3676609.15</v>
      </c>
      <c r="I468" s="18">
        <v>1995472.84</v>
      </c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>
        <v>20153.830000000002</v>
      </c>
      <c r="H469" s="18">
        <f>25185.29+749.46</f>
        <v>25934.75</v>
      </c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57398470.140000001</v>
      </c>
      <c r="G470" s="53">
        <f>SUM(G468:G469)</f>
        <v>1898808.7200000002</v>
      </c>
      <c r="H470" s="53">
        <f>SUM(H468:H469)</f>
        <v>3702543.9</v>
      </c>
      <c r="I470" s="53">
        <f>SUM(I468:I469)</f>
        <v>1995472.84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56805898.43</v>
      </c>
      <c r="G472" s="18">
        <f>71603.55+1736882.69</f>
        <v>1808486.24</v>
      </c>
      <c r="H472" s="18">
        <v>3708626.79</v>
      </c>
      <c r="I472" s="18">
        <v>13466650.619999999</v>
      </c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592571.71</v>
      </c>
      <c r="G473" s="18">
        <v>16454.22</v>
      </c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57398470.140000001</v>
      </c>
      <c r="G474" s="53">
        <f>SUM(G472:G473)</f>
        <v>1824940.46</v>
      </c>
      <c r="H474" s="53">
        <f>SUM(H472:H473)</f>
        <v>3708626.79</v>
      </c>
      <c r="I474" s="53">
        <f>SUM(I472:I473)</f>
        <v>13466650.619999999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0</v>
      </c>
      <c r="G476" s="53">
        <f>(G465+G470)- G474</f>
        <v>90322.480000000214</v>
      </c>
      <c r="H476" s="53">
        <f>(H465+H470)- H474</f>
        <v>0</v>
      </c>
      <c r="I476" s="53">
        <f>(I465+I470)- I474</f>
        <v>1995472.8399999999</v>
      </c>
      <c r="J476" s="53">
        <f>(J465+J470)- J474</f>
        <v>0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 t="s">
        <v>911</v>
      </c>
      <c r="G490" s="154">
        <v>20</v>
      </c>
      <c r="H490" s="154">
        <v>20</v>
      </c>
      <c r="I490" s="154">
        <v>20</v>
      </c>
      <c r="J490" s="154" t="s">
        <v>911</v>
      </c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4" t="s">
        <v>911</v>
      </c>
      <c r="G491" s="155" t="s">
        <v>912</v>
      </c>
      <c r="H491" s="155" t="s">
        <v>913</v>
      </c>
      <c r="I491" s="155" t="s">
        <v>914</v>
      </c>
      <c r="J491" s="154" t="s">
        <v>911</v>
      </c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915</v>
      </c>
      <c r="G492" s="155" t="s">
        <v>916</v>
      </c>
      <c r="H492" s="155" t="s">
        <v>917</v>
      </c>
      <c r="I492" s="155" t="s">
        <v>918</v>
      </c>
      <c r="J492" s="154" t="s">
        <v>919</v>
      </c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54" t="s">
        <v>911</v>
      </c>
      <c r="G493" s="18">
        <v>4704717</v>
      </c>
      <c r="H493" s="18">
        <v>3237000</v>
      </c>
      <c r="I493" s="18">
        <v>1378525</v>
      </c>
      <c r="J493" s="18">
        <v>1992991</v>
      </c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54" t="s">
        <v>911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2542066.56</v>
      </c>
      <c r="G495" s="18">
        <v>183770.79</v>
      </c>
      <c r="H495" s="18">
        <v>1456369.52</v>
      </c>
      <c r="I495" s="18">
        <v>1427000</v>
      </c>
      <c r="J495" s="18">
        <v>3480152.79</v>
      </c>
      <c r="K495" s="53">
        <f>SUM(F495:J495)</f>
        <v>9089359.6600000001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>
        <v>0</v>
      </c>
      <c r="I496" s="18">
        <v>0</v>
      </c>
      <c r="J496" s="18">
        <v>1534381.01</v>
      </c>
      <c r="K496" s="53">
        <f t="shared" ref="K496:K503" si="35">SUM(F496:J496)</f>
        <v>1534381.01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0</v>
      </c>
      <c r="G497" s="18">
        <v>0</v>
      </c>
      <c r="H497" s="18">
        <v>0</v>
      </c>
      <c r="I497" s="18">
        <v>0</v>
      </c>
      <c r="J497" s="18">
        <v>0</v>
      </c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1393763.27</v>
      </c>
      <c r="G498" s="204">
        <v>154280</v>
      </c>
      <c r="H498" s="204">
        <v>1240692.43</v>
      </c>
      <c r="I498" s="204">
        <v>1267000</v>
      </c>
      <c r="J498" s="204">
        <v>4756660.7</v>
      </c>
      <c r="K498" s="205">
        <f t="shared" si="35"/>
        <v>8812396.4000000004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76493.19</v>
      </c>
      <c r="G499" s="18">
        <v>14425.22</v>
      </c>
      <c r="H499" s="18">
        <v>72748.149999999994</v>
      </c>
      <c r="I499" s="18">
        <v>231817.5</v>
      </c>
      <c r="J499" s="18">
        <v>1153904.3899999999</v>
      </c>
      <c r="K499" s="53">
        <f t="shared" si="35"/>
        <v>1549388.45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1470256.46</v>
      </c>
      <c r="G500" s="42">
        <f>SUM(G498:G499)</f>
        <v>168705.22</v>
      </c>
      <c r="H500" s="42">
        <f>SUM(H498:H499)</f>
        <v>1313440.5799999998</v>
      </c>
      <c r="I500" s="42">
        <f>SUM(I498:I499)</f>
        <v>1498817.5</v>
      </c>
      <c r="J500" s="42">
        <f>SUM(J498:J499)</f>
        <v>5910565.0899999999</v>
      </c>
      <c r="K500" s="42">
        <f t="shared" si="35"/>
        <v>10361784.85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1124526.78</v>
      </c>
      <c r="G501" s="204">
        <v>30856</v>
      </c>
      <c r="H501" s="204">
        <v>213351.63</v>
      </c>
      <c r="I501" s="204">
        <v>160000</v>
      </c>
      <c r="J501" s="204">
        <v>365977.75</v>
      </c>
      <c r="K501" s="205">
        <f t="shared" si="35"/>
        <v>1894712.1600000001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59715.040000000001</v>
      </c>
      <c r="G502" s="18">
        <v>4744.12</v>
      </c>
      <c r="H502" s="18">
        <v>22148.11</v>
      </c>
      <c r="I502" s="18">
        <v>54509</v>
      </c>
      <c r="J502" s="18">
        <v>147748.07999999999</v>
      </c>
      <c r="K502" s="53">
        <f t="shared" si="35"/>
        <v>288864.34999999998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1184241.82</v>
      </c>
      <c r="G503" s="42">
        <f>SUM(G501:G502)</f>
        <v>35600.120000000003</v>
      </c>
      <c r="H503" s="42">
        <f>SUM(H501:H502)</f>
        <v>235499.74</v>
      </c>
      <c r="I503" s="42">
        <f>SUM(I501:I502)</f>
        <v>214509</v>
      </c>
      <c r="J503" s="42">
        <f>SUM(J501:J502)</f>
        <v>513725.82999999996</v>
      </c>
      <c r="K503" s="42">
        <f t="shared" si="35"/>
        <v>2183576.5100000002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4660959.79</v>
      </c>
      <c r="G521" s="18">
        <v>1624439.79</v>
      </c>
      <c r="H521" s="18">
        <v>652364.31000000006</v>
      </c>
      <c r="I521" s="18">
        <v>24330.82</v>
      </c>
      <c r="J521" s="18"/>
      <c r="K521" s="18">
        <v>831.66</v>
      </c>
      <c r="L521" s="88">
        <f>SUM(F521:K521)</f>
        <v>6962926.370000001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1408893.96</v>
      </c>
      <c r="G522" s="18">
        <v>698089.93</v>
      </c>
      <c r="H522" s="18">
        <v>484666.94</v>
      </c>
      <c r="I522" s="18">
        <v>12524.87</v>
      </c>
      <c r="J522" s="18">
        <v>810.33</v>
      </c>
      <c r="K522" s="18">
        <v>1000</v>
      </c>
      <c r="L522" s="88">
        <f>SUM(F522:K522)</f>
        <v>2605986.0300000003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1166673.71</v>
      </c>
      <c r="G523" s="18">
        <v>528062.28</v>
      </c>
      <c r="H523" s="18">
        <v>996373.71</v>
      </c>
      <c r="I523" s="18">
        <v>11278.74</v>
      </c>
      <c r="J523" s="18">
        <v>1516</v>
      </c>
      <c r="K523" s="18">
        <v>678.34</v>
      </c>
      <c r="L523" s="88">
        <f>SUM(F523:K523)</f>
        <v>2704582.7800000003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7236527.46</v>
      </c>
      <c r="G524" s="108">
        <f t="shared" ref="G524:L524" si="36">SUM(G521:G523)</f>
        <v>2850592</v>
      </c>
      <c r="H524" s="108">
        <f t="shared" si="36"/>
        <v>2133404.96</v>
      </c>
      <c r="I524" s="108">
        <f t="shared" si="36"/>
        <v>48134.43</v>
      </c>
      <c r="J524" s="108">
        <f t="shared" si="36"/>
        <v>2326.33</v>
      </c>
      <c r="K524" s="108">
        <f t="shared" si="36"/>
        <v>2510</v>
      </c>
      <c r="L524" s="89">
        <f t="shared" si="36"/>
        <v>12273495.180000003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306196.38</v>
      </c>
      <c r="G526" s="18">
        <v>125091.23</v>
      </c>
      <c r="H526" s="18">
        <v>616744.4</v>
      </c>
      <c r="I526" s="18"/>
      <c r="J526" s="18"/>
      <c r="K526" s="18"/>
      <c r="L526" s="88">
        <f>SUM(F526:K526)</f>
        <v>1048032.01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140744.62</v>
      </c>
      <c r="G527" s="18">
        <v>57258.76</v>
      </c>
      <c r="H527" s="18">
        <v>190892.59</v>
      </c>
      <c r="I527" s="18"/>
      <c r="J527" s="18"/>
      <c r="K527" s="18"/>
      <c r="L527" s="88">
        <f>SUM(F527:K527)</f>
        <v>388895.97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208707.78</v>
      </c>
      <c r="G528" s="18">
        <v>84908.05</v>
      </c>
      <c r="H528" s="18">
        <v>593591.98</v>
      </c>
      <c r="I528" s="18"/>
      <c r="J528" s="18"/>
      <c r="K528" s="18"/>
      <c r="L528" s="88">
        <f>SUM(F528:K528)</f>
        <v>887207.81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655648.78</v>
      </c>
      <c r="G529" s="89">
        <f t="shared" ref="G529:L529" si="37">SUM(G526:G528)</f>
        <v>267258.03999999998</v>
      </c>
      <c r="H529" s="89">
        <f t="shared" si="37"/>
        <v>1401228.97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2324135.79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167705.99</v>
      </c>
      <c r="G531" s="18">
        <v>58681.83</v>
      </c>
      <c r="H531" s="18">
        <v>8681.86</v>
      </c>
      <c r="I531" s="18"/>
      <c r="J531" s="18">
        <v>524.20000000000005</v>
      </c>
      <c r="K531" s="18">
        <v>23419.29</v>
      </c>
      <c r="L531" s="88">
        <f>SUM(F531:K531)</f>
        <v>259013.17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82956.179999999993</v>
      </c>
      <c r="G532" s="18">
        <v>29027.1</v>
      </c>
      <c r="H532" s="18">
        <v>4294.5</v>
      </c>
      <c r="I532" s="18"/>
      <c r="J532" s="18">
        <v>259.3</v>
      </c>
      <c r="K532" s="18">
        <v>11037.8</v>
      </c>
      <c r="L532" s="88">
        <f>SUM(F532:K532)</f>
        <v>127574.88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123014.3</v>
      </c>
      <c r="G533" s="18">
        <v>43043.79</v>
      </c>
      <c r="H533" s="18">
        <v>6368.25</v>
      </c>
      <c r="I533" s="18"/>
      <c r="J533" s="18">
        <v>384.51</v>
      </c>
      <c r="K533" s="18">
        <v>16367.76</v>
      </c>
      <c r="L533" s="88">
        <f>SUM(F533:K533)</f>
        <v>189178.61000000002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373676.47</v>
      </c>
      <c r="G534" s="89">
        <f t="shared" ref="G534:L534" si="38">SUM(G531:G533)</f>
        <v>130752.72</v>
      </c>
      <c r="H534" s="89">
        <f t="shared" si="38"/>
        <v>19344.61</v>
      </c>
      <c r="I534" s="89">
        <f t="shared" si="38"/>
        <v>0</v>
      </c>
      <c r="J534" s="89">
        <f t="shared" si="38"/>
        <v>1168.01</v>
      </c>
      <c r="K534" s="89">
        <f t="shared" si="38"/>
        <v>50824.85</v>
      </c>
      <c r="L534" s="89">
        <f t="shared" si="38"/>
        <v>575766.66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5786.45</v>
      </c>
      <c r="I536" s="18"/>
      <c r="J536" s="18"/>
      <c r="K536" s="18"/>
      <c r="L536" s="88">
        <f>SUM(F536:K536)</f>
        <v>5786.45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2862.28</v>
      </c>
      <c r="I537" s="18"/>
      <c r="J537" s="18"/>
      <c r="K537" s="18"/>
      <c r="L537" s="88">
        <f>SUM(F537:K537)</f>
        <v>2862.28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4244.43</v>
      </c>
      <c r="I538" s="18"/>
      <c r="J538" s="18"/>
      <c r="K538" s="18"/>
      <c r="L538" s="88">
        <f>SUM(F538:K538)</f>
        <v>4244.43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12893.16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12893.16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318646.09999999998</v>
      </c>
      <c r="I541" s="18"/>
      <c r="J541" s="18"/>
      <c r="K541" s="18"/>
      <c r="L541" s="88">
        <f>SUM(F541:K541)</f>
        <v>318646.09999999998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277783.11</v>
      </c>
      <c r="I542" s="18"/>
      <c r="J542" s="18"/>
      <c r="K542" s="18"/>
      <c r="L542" s="88">
        <f>SUM(F542:K542)</f>
        <v>277783.11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317318.65000000002</v>
      </c>
      <c r="I543" s="18"/>
      <c r="J543" s="18"/>
      <c r="K543" s="18"/>
      <c r="L543" s="88">
        <f>SUM(F543:K543)</f>
        <v>317318.65000000002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913747.86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913747.86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8265852.71</v>
      </c>
      <c r="G545" s="89">
        <f t="shared" ref="G545:L545" si="41">G524+G529+G534+G539+G544</f>
        <v>3248602.7600000002</v>
      </c>
      <c r="H545" s="89">
        <f t="shared" si="41"/>
        <v>4480619.5599999996</v>
      </c>
      <c r="I545" s="89">
        <f t="shared" si="41"/>
        <v>48134.43</v>
      </c>
      <c r="J545" s="89">
        <f t="shared" si="41"/>
        <v>3494.34</v>
      </c>
      <c r="K545" s="89">
        <f t="shared" si="41"/>
        <v>53334.85</v>
      </c>
      <c r="L545" s="89">
        <f t="shared" si="41"/>
        <v>16100038.650000002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6962926.370000001</v>
      </c>
      <c r="G549" s="87">
        <f>L526</f>
        <v>1048032.01</v>
      </c>
      <c r="H549" s="87">
        <f>L531</f>
        <v>259013.17</v>
      </c>
      <c r="I549" s="87">
        <f>L536</f>
        <v>5786.45</v>
      </c>
      <c r="J549" s="87">
        <f>L541</f>
        <v>318646.09999999998</v>
      </c>
      <c r="K549" s="87">
        <f>SUM(F549:J549)</f>
        <v>8594404.1000000015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2605986.0300000003</v>
      </c>
      <c r="G550" s="87">
        <f>L527</f>
        <v>388895.97</v>
      </c>
      <c r="H550" s="87">
        <f>L532</f>
        <v>127574.88</v>
      </c>
      <c r="I550" s="87">
        <f>L537</f>
        <v>2862.28</v>
      </c>
      <c r="J550" s="87">
        <f>L542</f>
        <v>277783.11</v>
      </c>
      <c r="K550" s="87">
        <f>SUM(F550:J550)</f>
        <v>3403102.2699999996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2704582.7800000003</v>
      </c>
      <c r="G551" s="87">
        <f>L528</f>
        <v>887207.81</v>
      </c>
      <c r="H551" s="87">
        <f>L533</f>
        <v>189178.61000000002</v>
      </c>
      <c r="I551" s="87">
        <f>L538</f>
        <v>4244.43</v>
      </c>
      <c r="J551" s="87">
        <f>L543</f>
        <v>317318.65000000002</v>
      </c>
      <c r="K551" s="87">
        <f>SUM(F551:J551)</f>
        <v>4102532.2800000003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12273495.180000003</v>
      </c>
      <c r="G552" s="89">
        <f t="shared" si="42"/>
        <v>2324135.79</v>
      </c>
      <c r="H552" s="89">
        <f t="shared" si="42"/>
        <v>575766.66</v>
      </c>
      <c r="I552" s="89">
        <f t="shared" si="42"/>
        <v>12893.16</v>
      </c>
      <c r="J552" s="89">
        <f t="shared" si="42"/>
        <v>913747.86</v>
      </c>
      <c r="K552" s="89">
        <f t="shared" si="42"/>
        <v>16100038.650000002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v>762539.24</v>
      </c>
      <c r="G557" s="18">
        <v>343087.79</v>
      </c>
      <c r="H557" s="18">
        <v>40781.550000000003</v>
      </c>
      <c r="I557" s="18">
        <v>27687.78</v>
      </c>
      <c r="J557" s="18">
        <v>371.61</v>
      </c>
      <c r="K557" s="18">
        <v>1974.65</v>
      </c>
      <c r="L557" s="88">
        <f>SUM(F557:K557)</f>
        <v>1176442.6200000001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>
        <v>23615.59</v>
      </c>
      <c r="G558" s="18">
        <v>7678.29</v>
      </c>
      <c r="H558" s="18">
        <v>16431.57</v>
      </c>
      <c r="I558" s="18">
        <v>1895.09</v>
      </c>
      <c r="J558" s="18">
        <v>183.82</v>
      </c>
      <c r="K558" s="18">
        <v>405.42</v>
      </c>
      <c r="L558" s="88">
        <f>SUM(F558:K558)</f>
        <v>50209.779999999992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>
        <v>35019.160000000003</v>
      </c>
      <c r="G559" s="18">
        <v>11386</v>
      </c>
      <c r="H559" s="18">
        <v>24366.1</v>
      </c>
      <c r="I559" s="18">
        <v>2810.19</v>
      </c>
      <c r="J559" s="18">
        <v>272.58</v>
      </c>
      <c r="K559" s="18">
        <v>601.19000000000005</v>
      </c>
      <c r="L559" s="88">
        <f>SUM(F559:K559)</f>
        <v>74455.220000000016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821173.99</v>
      </c>
      <c r="G560" s="108">
        <f t="shared" si="43"/>
        <v>362152.07999999996</v>
      </c>
      <c r="H560" s="108">
        <f t="shared" si="43"/>
        <v>81579.22</v>
      </c>
      <c r="I560" s="108">
        <f t="shared" si="43"/>
        <v>32393.059999999998</v>
      </c>
      <c r="J560" s="108">
        <f t="shared" si="43"/>
        <v>828.01</v>
      </c>
      <c r="K560" s="108">
        <f t="shared" si="43"/>
        <v>2981.26</v>
      </c>
      <c r="L560" s="89">
        <f t="shared" si="43"/>
        <v>1301107.6200000001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821173.99</v>
      </c>
      <c r="G571" s="89">
        <f t="shared" ref="G571:L571" si="46">G560+G565+G570</f>
        <v>362152.07999999996</v>
      </c>
      <c r="H571" s="89">
        <f t="shared" si="46"/>
        <v>81579.22</v>
      </c>
      <c r="I571" s="89">
        <f t="shared" si="46"/>
        <v>32393.059999999998</v>
      </c>
      <c r="J571" s="89">
        <f t="shared" si="46"/>
        <v>828.01</v>
      </c>
      <c r="K571" s="89">
        <f t="shared" si="46"/>
        <v>2981.26</v>
      </c>
      <c r="L571" s="89">
        <f t="shared" si="46"/>
        <v>1301107.6200000001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6035.04</v>
      </c>
      <c r="I575" s="87">
        <f>SUM(F575:H575)</f>
        <v>6035.04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355224.96</v>
      </c>
      <c r="G579" s="18">
        <v>182857.53</v>
      </c>
      <c r="H579" s="18">
        <v>331326.78000000003</v>
      </c>
      <c r="I579" s="87">
        <f t="shared" si="47"/>
        <v>869409.27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280885.52</v>
      </c>
      <c r="G582" s="18">
        <v>299538.65999999997</v>
      </c>
      <c r="H582" s="18">
        <f>632946+29000</f>
        <v>661946</v>
      </c>
      <c r="I582" s="87">
        <f t="shared" si="47"/>
        <v>1242370.18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25193.89</v>
      </c>
      <c r="I584" s="87">
        <f t="shared" si="47"/>
        <v>25193.89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419963.19</v>
      </c>
      <c r="I591" s="18">
        <v>207735.8</v>
      </c>
      <c r="J591" s="18">
        <v>308047.87</v>
      </c>
      <c r="K591" s="104">
        <f t="shared" ref="K591:K597" si="48">SUM(H591:J591)</f>
        <v>935746.86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318646.09999999998</v>
      </c>
      <c r="I592" s="18">
        <v>277783.11</v>
      </c>
      <c r="J592" s="18">
        <v>317318.65000000002</v>
      </c>
      <c r="K592" s="104">
        <f t="shared" si="48"/>
        <v>913747.86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26872.6</v>
      </c>
      <c r="K593" s="104">
        <f t="shared" si="48"/>
        <v>26872.6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9071.82</v>
      </c>
      <c r="J594" s="18">
        <v>78422.33</v>
      </c>
      <c r="K594" s="104">
        <f t="shared" si="48"/>
        <v>87494.15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>
        <v>2038.56</v>
      </c>
      <c r="J595" s="18">
        <v>6101.5</v>
      </c>
      <c r="K595" s="104">
        <f t="shared" si="48"/>
        <v>8140.0599999999995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738609.29</v>
      </c>
      <c r="I598" s="108">
        <f>SUM(I591:I597)</f>
        <v>496629.29</v>
      </c>
      <c r="J598" s="108">
        <f>SUM(J591:J597)</f>
        <v>736762.95</v>
      </c>
      <c r="K598" s="108">
        <f>SUM(K591:K597)</f>
        <v>1972001.53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71999.27</v>
      </c>
      <c r="I604" s="18">
        <v>43385.52</v>
      </c>
      <c r="J604" s="18">
        <v>147756.96</v>
      </c>
      <c r="K604" s="104">
        <f>SUM(H604:J604)</f>
        <v>263141.75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71999.27</v>
      </c>
      <c r="I605" s="108">
        <f>SUM(I602:I604)</f>
        <v>43385.52</v>
      </c>
      <c r="J605" s="108">
        <f>SUM(J602:J604)</f>
        <v>147756.96</v>
      </c>
      <c r="K605" s="108">
        <f>SUM(K602:K604)</f>
        <v>263141.75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4668.03</v>
      </c>
      <c r="G612" s="18">
        <v>839.8</v>
      </c>
      <c r="H612" s="18"/>
      <c r="I612" s="18"/>
      <c r="J612" s="18"/>
      <c r="K612" s="18"/>
      <c r="L612" s="88">
        <f>SUM(F612:K612)</f>
        <v>5507.83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6352.75</v>
      </c>
      <c r="G613" s="18">
        <v>1522.6</v>
      </c>
      <c r="H613" s="18"/>
      <c r="I613" s="18"/>
      <c r="J613" s="18"/>
      <c r="K613" s="18"/>
      <c r="L613" s="88">
        <f>SUM(F613:K613)</f>
        <v>7875.35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11020.779999999999</v>
      </c>
      <c r="G614" s="108">
        <f t="shared" si="49"/>
        <v>2362.3999999999996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13383.18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0</v>
      </c>
      <c r="H617" s="109">
        <f>SUM(F52)</f>
        <v>0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121712.51</v>
      </c>
      <c r="H618" s="109">
        <f>SUM(G52)</f>
        <v>121712.51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1187525.71</v>
      </c>
      <c r="H619" s="109">
        <f>SUM(H52)</f>
        <v>1187525.7100000002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1995472.84</v>
      </c>
      <c r="H620" s="109">
        <f>SUM(I52)</f>
        <v>1995472.84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0</v>
      </c>
      <c r="H621" s="109">
        <f>SUM(J52)</f>
        <v>0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0</v>
      </c>
      <c r="H622" s="109">
        <f>F476</f>
        <v>0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90322.48</v>
      </c>
      <c r="H623" s="109">
        <f>G476</f>
        <v>90322.480000000214</v>
      </c>
      <c r="I623" s="121" t="s">
        <v>102</v>
      </c>
      <c r="J623" s="109">
        <f t="shared" si="50"/>
        <v>-2.1827872842550278E-10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1995472.84</v>
      </c>
      <c r="H625" s="109">
        <f>I476</f>
        <v>1995472.8399999999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57398470.139999993</v>
      </c>
      <c r="H627" s="104">
        <f>SUM(F468)</f>
        <v>57398470.140000001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1878654.89</v>
      </c>
      <c r="H628" s="104">
        <f>SUM(G468)</f>
        <v>1878654.8900000001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3676609.15</v>
      </c>
      <c r="H629" s="104">
        <f>SUM(H468)</f>
        <v>3676609.15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1995472.84</v>
      </c>
      <c r="H630" s="104">
        <f>SUM(I468)</f>
        <v>1995472.84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56805898.43</v>
      </c>
      <c r="H632" s="104">
        <f>SUM(F472)</f>
        <v>56805898.43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3708626.7900000005</v>
      </c>
      <c r="H633" s="104">
        <f>SUM(H472)</f>
        <v>3708626.79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748390.17999999993</v>
      </c>
      <c r="H634" s="104">
        <f>I369</f>
        <v>748390.17999999993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1808486.2399999998</v>
      </c>
      <c r="H635" s="104">
        <f>SUM(G472)</f>
        <v>1808486.24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13466650.619999997</v>
      </c>
      <c r="H636" s="104">
        <f>SUM(I472)</f>
        <v>13466650.619999999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1972001.53</v>
      </c>
      <c r="H647" s="104">
        <f>L208+L226+L244</f>
        <v>1972001.53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263141.75</v>
      </c>
      <c r="H648" s="104">
        <f>(J257+J338)-(J255+J336)</f>
        <v>263141.75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738609.29</v>
      </c>
      <c r="H649" s="104">
        <f>H598</f>
        <v>738609.29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496629.29</v>
      </c>
      <c r="H650" s="104">
        <f>I598</f>
        <v>496629.29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736762.95</v>
      </c>
      <c r="H651" s="104">
        <f>J598</f>
        <v>736762.95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28634736.030000001</v>
      </c>
      <c r="G660" s="19">
        <f>(L229+L309+L359)</f>
        <v>12525886.190000001</v>
      </c>
      <c r="H660" s="19">
        <f>(L247+L328+L360)</f>
        <v>18975829.93</v>
      </c>
      <c r="I660" s="19">
        <f>SUM(F660:H660)</f>
        <v>60136452.149999999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355670.79818681831</v>
      </c>
      <c r="G661" s="19">
        <f>(L359/IF(SUM(L358:L360)=0,1,SUM(L358:L360))*(SUM(G97:G110)))</f>
        <v>145707.70582145089</v>
      </c>
      <c r="H661" s="19">
        <f>(L360/IF(SUM(L358:L360)=0,1,SUM(L358:L360))*(SUM(G97:G110)))</f>
        <v>217894.35599173087</v>
      </c>
      <c r="I661" s="19">
        <f>SUM(F661:H661)</f>
        <v>719272.8600000001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759299.26</v>
      </c>
      <c r="G662" s="19">
        <f>(L226+L306)-(J226+J306)</f>
        <v>506863.63</v>
      </c>
      <c r="H662" s="19">
        <f>(L244+L325)-(J244+J325)</f>
        <v>751939.27999999991</v>
      </c>
      <c r="I662" s="19">
        <f>SUM(F662:H662)</f>
        <v>2018102.17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708109.75</v>
      </c>
      <c r="G663" s="199">
        <f>SUM(G575:G587)+SUM(I602:I604)+L612</f>
        <v>531289.53999999992</v>
      </c>
      <c r="H663" s="199">
        <f>SUM(H575:H587)+SUM(J602:J604)+L613</f>
        <v>1180134.0200000003</v>
      </c>
      <c r="I663" s="19">
        <f>SUM(F663:H663)</f>
        <v>2419533.3100000005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26811656.221813183</v>
      </c>
      <c r="G664" s="19">
        <f>G660-SUM(G661:G663)</f>
        <v>11342025.314178551</v>
      </c>
      <c r="H664" s="19">
        <f>H660-SUM(H661:H663)</f>
        <v>16825862.274008267</v>
      </c>
      <c r="I664" s="19">
        <f>I660-SUM(I661:I663)</f>
        <v>54979543.809999995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1918.03</v>
      </c>
      <c r="G665" s="248">
        <v>948.89</v>
      </c>
      <c r="H665" s="248">
        <v>1406.75</v>
      </c>
      <c r="I665" s="19">
        <f>SUM(F665:H665)</f>
        <v>4273.67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13978.75</v>
      </c>
      <c r="G667" s="19">
        <f>ROUND(G664/G665,2)</f>
        <v>11952.94</v>
      </c>
      <c r="H667" s="19">
        <f>ROUND(H664/H665,2)</f>
        <v>11960.8</v>
      </c>
      <c r="I667" s="19">
        <f>ROUND(I664/I665,2)</f>
        <v>12864.71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-2.44</v>
      </c>
      <c r="I670" s="19">
        <f>SUM(F670:H670)</f>
        <v>-2.44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13978.75</v>
      </c>
      <c r="G672" s="19">
        <f>ROUND((G664+G669)/(G665+G670),2)</f>
        <v>11952.94</v>
      </c>
      <c r="H672" s="19">
        <f>ROUND((H664+H669)/(H665+H670),2)</f>
        <v>11981.59</v>
      </c>
      <c r="I672" s="19">
        <f>ROUND((I664+I669)/(I665+I670),2)</f>
        <v>12872.06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Rochester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15324136.640000001</v>
      </c>
      <c r="C9" s="229">
        <f>'DOE25'!G197+'DOE25'!G215+'DOE25'!G233+'DOE25'!G276+'DOE25'!G295+'DOE25'!G314</f>
        <v>5873580.2300000004</v>
      </c>
    </row>
    <row r="10" spans="1:3" x14ac:dyDescent="0.2">
      <c r="A10" t="s">
        <v>779</v>
      </c>
      <c r="B10" s="240">
        <f>14131075.47+12324.47+6094.2+1121.19+3744+70294.16+22882.5+0.01</f>
        <v>14247536</v>
      </c>
      <c r="C10" s="240">
        <f>1978276.93+1089936.5+2493400.26+30219.79+2476.07+2468.65+59.36+2.8+903.63+1746.45+747.26+906.7+305.84+85.17+265.97+530.16+14871.37+326.48+15.4+4971.69+9953.46+1750.52+28418.56</f>
        <v>5662639.0200000005</v>
      </c>
    </row>
    <row r="11" spans="1:3" x14ac:dyDescent="0.2">
      <c r="A11" t="s">
        <v>780</v>
      </c>
      <c r="B11" s="240">
        <f>560366.87+3888.44+2971.45+180.4</f>
        <v>567407.15999999992</v>
      </c>
      <c r="C11" s="240">
        <f>21421.26+43406.65+100000+7000</f>
        <v>171827.91</v>
      </c>
    </row>
    <row r="12" spans="1:3" x14ac:dyDescent="0.2">
      <c r="A12" t="s">
        <v>781</v>
      </c>
      <c r="B12" s="240">
        <f>10703.26+496510.22+1980</f>
        <v>509193.48</v>
      </c>
      <c r="C12" s="240">
        <f>38953.3+151+9</f>
        <v>39113.300000000003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15324136.640000001</v>
      </c>
      <c r="C13" s="231">
        <f>SUM(C10:C12)</f>
        <v>5873580.2300000004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8734827.9100000001</v>
      </c>
      <c r="C18" s="229">
        <f>'DOE25'!G198+'DOE25'!G216+'DOE25'!G234+'DOE25'!G277+'DOE25'!G296+'DOE25'!G315</f>
        <v>3490594.3200000003</v>
      </c>
    </row>
    <row r="19" spans="1:3" x14ac:dyDescent="0.2">
      <c r="A19" t="s">
        <v>779</v>
      </c>
      <c r="B19" s="240">
        <f>179496.52+3017880.02+847774.48+520575.93+707795.09+462899.82-0.01</f>
        <v>5736421.8500000006</v>
      </c>
      <c r="C19" s="240">
        <f>20260.5+419335.01+120191.63+72995.93+106643.06+63566.68+61374.96+593975.03+682.64+32.14+1267+10668.64+613.25+10602+427632.26+5360.98+275.56+4721.86+219805.41+4821.37+232.32+5075+157089.67+2356.35+109.52+2979.44+177441.24+2018.33+149.89+37.3+438836.27-39256.68</f>
        <v>2891894.56</v>
      </c>
    </row>
    <row r="20" spans="1:3" x14ac:dyDescent="0.2">
      <c r="A20" t="s">
        <v>780</v>
      </c>
      <c r="B20" s="240">
        <f>31332.99+1262692.06+129485.33+437142.63+531953.87+192147.19+152768.79</f>
        <v>2737522.8600000003</v>
      </c>
      <c r="C20" s="240">
        <f>2295.41+14368.49+24839.66+18099.11+3719.03+200000+6000+100000+209420.5</f>
        <v>578742.19999999995</v>
      </c>
    </row>
    <row r="21" spans="1:3" x14ac:dyDescent="0.2">
      <c r="A21" t="s">
        <v>781</v>
      </c>
      <c r="B21" s="240">
        <f>1387.5+141501.84+31515.73+19028.85+19317.03+17843.99+16053.35+4602.91+9632</f>
        <v>260883.20000000001</v>
      </c>
      <c r="C21" s="240">
        <v>19957.560000000001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8734827.9100000001</v>
      </c>
      <c r="C22" s="231">
        <f>SUM(C19:C21)</f>
        <v>3490594.32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1138648.97</v>
      </c>
      <c r="C27" s="234">
        <f>'DOE25'!G199+'DOE25'!G217+'DOE25'!G235+'DOE25'!G278+'DOE25'!G297+'DOE25'!G316</f>
        <v>523977.89</v>
      </c>
    </row>
    <row r="28" spans="1:3" x14ac:dyDescent="0.2">
      <c r="A28" t="s">
        <v>779</v>
      </c>
      <c r="B28" s="240">
        <v>1051316.6100000001</v>
      </c>
      <c r="C28" s="240">
        <f>299638.68+2966.21+163.8+146421.86+73123.46-5017.05</f>
        <v>517296.96</v>
      </c>
    </row>
    <row r="29" spans="1:3" x14ac:dyDescent="0.2">
      <c r="A29" t="s">
        <v>780</v>
      </c>
      <c r="B29" s="240">
        <v>65582.36</v>
      </c>
      <c r="C29" s="240">
        <v>5017.05</v>
      </c>
    </row>
    <row r="30" spans="1:3" x14ac:dyDescent="0.2">
      <c r="A30" t="s">
        <v>781</v>
      </c>
      <c r="B30" s="240">
        <v>21750</v>
      </c>
      <c r="C30" s="240">
        <v>1663.88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1138648.9700000002</v>
      </c>
      <c r="C31" s="231">
        <f>SUM(C28:C30)</f>
        <v>523977.89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319267.60000000003</v>
      </c>
      <c r="C36" s="235">
        <f>'DOE25'!G200+'DOE25'!G218+'DOE25'!G236+'DOE25'!G279+'DOE25'!G298+'DOE25'!G317</f>
        <v>98382.150000000009</v>
      </c>
    </row>
    <row r="37" spans="1:3" x14ac:dyDescent="0.2">
      <c r="A37" t="s">
        <v>779</v>
      </c>
      <c r="B37" s="240">
        <f>203370.52+4668.03+6352.75</f>
        <v>214391.3</v>
      </c>
      <c r="C37" s="240">
        <f>357.67+411.13+71+475.05+899.55+148+40829.78+385.84+98.64+29107.27-11260.59+1421+16154.41</f>
        <v>79098.75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79523.93+25352.37</f>
        <v>104876.29999999999</v>
      </c>
      <c r="C39" s="240">
        <f>11260.59+8022.81</f>
        <v>19283.400000000001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319267.59999999998</v>
      </c>
      <c r="C40" s="231">
        <f>SUM(C37:C39)</f>
        <v>98382.15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A5" sqref="A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Rochester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37720613.200000003</v>
      </c>
      <c r="D5" s="20">
        <f>SUM('DOE25'!L197:L200)+SUM('DOE25'!L215:L218)+SUM('DOE25'!L233:L236)-F5-G5</f>
        <v>37501560.610000007</v>
      </c>
      <c r="E5" s="243"/>
      <c r="F5" s="255">
        <f>SUM('DOE25'!J197:J200)+SUM('DOE25'!J215:J218)+SUM('DOE25'!J233:J236)</f>
        <v>104037.26000000001</v>
      </c>
      <c r="G5" s="53">
        <f>SUM('DOE25'!K197:K200)+SUM('DOE25'!K215:K218)+SUM('DOE25'!K233:K236)</f>
        <v>115015.33</v>
      </c>
      <c r="H5" s="259"/>
    </row>
    <row r="6" spans="1:9" x14ac:dyDescent="0.2">
      <c r="A6" s="32">
        <v>2100</v>
      </c>
      <c r="B6" t="s">
        <v>801</v>
      </c>
      <c r="C6" s="245">
        <f t="shared" si="0"/>
        <v>2691844.7800000003</v>
      </c>
      <c r="D6" s="20">
        <f>'DOE25'!L202+'DOE25'!L220+'DOE25'!L238-F6-G6</f>
        <v>2688686.58</v>
      </c>
      <c r="E6" s="243"/>
      <c r="F6" s="255">
        <f>'DOE25'!J202+'DOE25'!J220+'DOE25'!J238</f>
        <v>2808.2</v>
      </c>
      <c r="G6" s="53">
        <f>'DOE25'!K202+'DOE25'!K220+'DOE25'!K238</f>
        <v>350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2234666.7199999997</v>
      </c>
      <c r="D7" s="20">
        <f>'DOE25'!L203+'DOE25'!L221+'DOE25'!L239-F7-G7</f>
        <v>2199245.2599999998</v>
      </c>
      <c r="E7" s="243"/>
      <c r="F7" s="255">
        <f>'DOE25'!J203+'DOE25'!J221+'DOE25'!J239</f>
        <v>34440.160000000003</v>
      </c>
      <c r="G7" s="53">
        <f>'DOE25'!K203+'DOE25'!K221+'DOE25'!K239</f>
        <v>981.3</v>
      </c>
      <c r="H7" s="259"/>
    </row>
    <row r="8" spans="1:9" x14ac:dyDescent="0.2">
      <c r="A8" s="32">
        <v>2300</v>
      </c>
      <c r="B8" t="s">
        <v>802</v>
      </c>
      <c r="C8" s="245">
        <f t="shared" si="0"/>
        <v>1270083.2700000003</v>
      </c>
      <c r="D8" s="243"/>
      <c r="E8" s="20">
        <f>'DOE25'!L204+'DOE25'!L222+'DOE25'!L240-F8-G8-D9-D11</f>
        <v>1216070.0900000001</v>
      </c>
      <c r="F8" s="255">
        <f>'DOE25'!J204+'DOE25'!J222+'DOE25'!J240</f>
        <v>3191.12</v>
      </c>
      <c r="G8" s="53">
        <f>'DOE25'!K204+'DOE25'!K222+'DOE25'!K240</f>
        <v>50822.06</v>
      </c>
      <c r="H8" s="259"/>
    </row>
    <row r="9" spans="1:9" x14ac:dyDescent="0.2">
      <c r="A9" s="32">
        <v>2310</v>
      </c>
      <c r="B9" t="s">
        <v>818</v>
      </c>
      <c r="C9" s="245">
        <f t="shared" si="0"/>
        <v>125118.39</v>
      </c>
      <c r="D9" s="244">
        <f>130218.39-5100</f>
        <v>125118.39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5100</v>
      </c>
      <c r="D10" s="243"/>
      <c r="E10" s="244">
        <v>5100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506189.29</v>
      </c>
      <c r="D11" s="244">
        <v>506189.29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3233752.6999999997</v>
      </c>
      <c r="D12" s="20">
        <f>'DOE25'!L205+'DOE25'!L223+'DOE25'!L241-F12-G12</f>
        <v>3218979.7599999993</v>
      </c>
      <c r="E12" s="243"/>
      <c r="F12" s="255">
        <f>'DOE25'!J205+'DOE25'!J223+'DOE25'!J241</f>
        <v>149.99</v>
      </c>
      <c r="G12" s="53">
        <f>'DOE25'!K205+'DOE25'!K223+'DOE25'!K241</f>
        <v>14622.95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486057.81</v>
      </c>
      <c r="D13" s="243"/>
      <c r="E13" s="20">
        <f>'DOE25'!L206+'DOE25'!L224+'DOE25'!L242-F13-G13</f>
        <v>485438.81</v>
      </c>
      <c r="F13" s="255">
        <f>'DOE25'!J206+'DOE25'!J224+'DOE25'!J242</f>
        <v>0</v>
      </c>
      <c r="G13" s="53">
        <f>'DOE25'!K206+'DOE25'!K224+'DOE25'!K242</f>
        <v>619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4417721.5</v>
      </c>
      <c r="D14" s="20">
        <f>'DOE25'!L207+'DOE25'!L225+'DOE25'!L243-F14-G14</f>
        <v>4371699.67</v>
      </c>
      <c r="E14" s="243"/>
      <c r="F14" s="255">
        <f>'DOE25'!J207+'DOE25'!J225+'DOE25'!J243</f>
        <v>45951.83</v>
      </c>
      <c r="G14" s="53">
        <f>'DOE25'!K207+'DOE25'!K225+'DOE25'!K243</f>
        <v>70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1972001.53</v>
      </c>
      <c r="D15" s="20">
        <f>'DOE25'!L208+'DOE25'!L226+'DOE25'!L244-F15-G15</f>
        <v>1972001.53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3711.25</v>
      </c>
      <c r="D16" s="243"/>
      <c r="E16" s="20">
        <f>'DOE25'!L209+'DOE25'!L227+'DOE25'!L245-F16-G16</f>
        <v>3711.25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1412.3600000000001</v>
      </c>
      <c r="D17" s="20">
        <f>'DOE25'!L251-F17-G17</f>
        <v>1412.3600000000001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2142725.63</v>
      </c>
      <c r="D25" s="243"/>
      <c r="E25" s="243"/>
      <c r="F25" s="258"/>
      <c r="G25" s="256"/>
      <c r="H25" s="257">
        <f>'DOE25'!L260+'DOE25'!L261+'DOE25'!L341+'DOE25'!L342</f>
        <v>2142725.63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1130401.7799999998</v>
      </c>
      <c r="D29" s="20">
        <f>'DOE25'!L358+'DOE25'!L359+'DOE25'!L360-'DOE25'!I367-F29-G29</f>
        <v>1125974.2899999998</v>
      </c>
      <c r="E29" s="243"/>
      <c r="F29" s="255">
        <f>'DOE25'!J358+'DOE25'!J359+'DOE25'!J360</f>
        <v>3310.69</v>
      </c>
      <c r="G29" s="53">
        <f>'DOE25'!K358+'DOE25'!K359+'DOE25'!K360</f>
        <v>1116.8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3706022.7800000007</v>
      </c>
      <c r="D31" s="20">
        <f>'DOE25'!L290+'DOE25'!L309+'DOE25'!L328+'DOE25'!L333+'DOE25'!L334+'DOE25'!L335-F31-G31</f>
        <v>3424820.3000000007</v>
      </c>
      <c r="E31" s="243"/>
      <c r="F31" s="255">
        <f>'DOE25'!J290+'DOE25'!J309+'DOE25'!J328+'DOE25'!J333+'DOE25'!J334+'DOE25'!J335</f>
        <v>72563.189999999988</v>
      </c>
      <c r="G31" s="53">
        <f>'DOE25'!K290+'DOE25'!K309+'DOE25'!K328+'DOE25'!K333+'DOE25'!K334+'DOE25'!K335</f>
        <v>208639.29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57135688.040000007</v>
      </c>
      <c r="E33" s="246">
        <f>SUM(E5:E31)</f>
        <v>1710320.1500000001</v>
      </c>
      <c r="F33" s="246">
        <f>SUM(F5:F31)</f>
        <v>266452.44</v>
      </c>
      <c r="G33" s="246">
        <f>SUM(G5:G31)</f>
        <v>392236.73</v>
      </c>
      <c r="H33" s="246">
        <f>SUM(H5:H31)</f>
        <v>2142725.63</v>
      </c>
    </row>
    <row r="35" spans="2:8" ht="12" thickBot="1" x14ac:dyDescent="0.25">
      <c r="B35" s="253" t="s">
        <v>847</v>
      </c>
      <c r="D35" s="254">
        <f>E33</f>
        <v>1710320.1500000001</v>
      </c>
      <c r="E35" s="249"/>
    </row>
    <row r="36" spans="2:8" ht="12" thickTop="1" x14ac:dyDescent="0.2">
      <c r="B36" t="s">
        <v>815</v>
      </c>
      <c r="D36" s="20">
        <f>D33</f>
        <v>57135688.040000007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3" sqref="A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Rochester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0</v>
      </c>
      <c r="E8" s="95">
        <f>'DOE25'!H9</f>
        <v>0</v>
      </c>
      <c r="F8" s="95">
        <f>'DOE25'!I9</f>
        <v>1995472.84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1187525.71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101558.68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20153.830000000002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0</v>
      </c>
      <c r="D18" s="41">
        <f>SUM(D8:D17)</f>
        <v>121712.51</v>
      </c>
      <c r="E18" s="41">
        <f>SUM(E8:E17)</f>
        <v>1187525.71</v>
      </c>
      <c r="F18" s="41">
        <f>SUM(F8:F17)</f>
        <v>1995472.84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31233.33</v>
      </c>
      <c r="E21" s="95">
        <f>'DOE25'!H22</f>
        <v>1176518.1200000001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156.69999999999999</v>
      </c>
      <c r="E23" s="95">
        <f>'DOE25'!H24</f>
        <v>11007.59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31390.030000000002</v>
      </c>
      <c r="E31" s="41">
        <f>SUM(E21:E30)</f>
        <v>1187525.7100000002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20153.830000000002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1995472.84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70168.649999999994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0</v>
      </c>
      <c r="D50" s="41">
        <f>SUM(D34:D49)</f>
        <v>90322.48</v>
      </c>
      <c r="E50" s="41">
        <f>SUM(E34:E49)</f>
        <v>0</v>
      </c>
      <c r="F50" s="41">
        <f>SUM(F34:F49)</f>
        <v>1995472.84</v>
      </c>
      <c r="G50" s="41">
        <f>SUM(G34:G49)</f>
        <v>0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0</v>
      </c>
      <c r="D51" s="41">
        <f>D50+D31</f>
        <v>121712.51</v>
      </c>
      <c r="E51" s="41">
        <f>E50+E31</f>
        <v>1187525.7100000002</v>
      </c>
      <c r="F51" s="41">
        <f>F50+F31</f>
        <v>1995472.84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25426296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2238513.54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715272.86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153301.99</v>
      </c>
      <c r="D61" s="95">
        <f>SUM('DOE25'!G98:G110)</f>
        <v>4000</v>
      </c>
      <c r="E61" s="95">
        <f>SUM('DOE25'!H98:H110)</f>
        <v>0</v>
      </c>
      <c r="F61" s="95">
        <f>SUM('DOE25'!I98:I110)</f>
        <v>1995472.84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2391815.5300000003</v>
      </c>
      <c r="D62" s="130">
        <f>SUM(D57:D61)</f>
        <v>719272.86</v>
      </c>
      <c r="E62" s="130">
        <f>SUM(E57:E61)</f>
        <v>0</v>
      </c>
      <c r="F62" s="130">
        <f>SUM(F57:F61)</f>
        <v>1995472.84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27818111.530000001</v>
      </c>
      <c r="D63" s="22">
        <f>D56+D62</f>
        <v>719272.86</v>
      </c>
      <c r="E63" s="22">
        <f>E56+E62</f>
        <v>0</v>
      </c>
      <c r="F63" s="22">
        <f>F56+F62</f>
        <v>1995472.84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22518449.210000001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4967033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27485482.210000001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837628.61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208339.07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56225.21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95347.87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1102192.8899999999</v>
      </c>
      <c r="D78" s="130">
        <f>SUM(D72:D77)</f>
        <v>95347.87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28587675.100000001</v>
      </c>
      <c r="D81" s="130">
        <f>SUM(D79:D80)+D78+D70</f>
        <v>95347.87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61051.57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852114.22</v>
      </c>
      <c r="D88" s="95">
        <f>SUM('DOE25'!G153:G161)</f>
        <v>1064034.1599999999</v>
      </c>
      <c r="E88" s="95">
        <f>SUM('DOE25'!H153:H161)</f>
        <v>3676609.15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79517.72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992683.50999999989</v>
      </c>
      <c r="D91" s="131">
        <f>SUM(D85:D90)</f>
        <v>1064034.1599999999</v>
      </c>
      <c r="E91" s="131">
        <f>SUM(E85:E90)</f>
        <v>3676609.15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57398470.140000001</v>
      </c>
      <c r="D104" s="86">
        <f>D63+D81+D91+D103</f>
        <v>1878654.89</v>
      </c>
      <c r="E104" s="86">
        <f>E63+E81+E91+E103</f>
        <v>3676609.15</v>
      </c>
      <c r="F104" s="86">
        <f>F63+F81+F91+F103</f>
        <v>1995472.84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21731647.160000004</v>
      </c>
      <c r="D109" s="24" t="s">
        <v>289</v>
      </c>
      <c r="E109" s="95">
        <f>('DOE25'!L276)+('DOE25'!L295)+('DOE25'!L314)</f>
        <v>403553.25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13653308.280000001</v>
      </c>
      <c r="D110" s="24" t="s">
        <v>289</v>
      </c>
      <c r="E110" s="95">
        <f>('DOE25'!L277)+('DOE25'!L296)+('DOE25'!L315)</f>
        <v>2208033.75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1767891.43</v>
      </c>
      <c r="D111" s="24" t="s">
        <v>289</v>
      </c>
      <c r="E111" s="95">
        <f>('DOE25'!L278)+('DOE25'!L297)+('DOE25'!L316)</f>
        <v>125365.45999999999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567766.32999999996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2604.0100000000002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1412.3600000000001</v>
      </c>
      <c r="D114" s="24" t="s">
        <v>289</v>
      </c>
      <c r="E114" s="95">
        <f>+ SUM('DOE25'!L333:L335)</f>
        <v>39817.31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37722025.560000002</v>
      </c>
      <c r="D115" s="86">
        <f>SUM(D109:D114)</f>
        <v>0</v>
      </c>
      <c r="E115" s="86">
        <f>SUM(E109:E114)</f>
        <v>2779373.78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2691844.7800000003</v>
      </c>
      <c r="D118" s="24" t="s">
        <v>289</v>
      </c>
      <c r="E118" s="95">
        <f>+('DOE25'!L281)+('DOE25'!L300)+('DOE25'!L319)</f>
        <v>11300.67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2234666.7199999997</v>
      </c>
      <c r="D119" s="24" t="s">
        <v>289</v>
      </c>
      <c r="E119" s="95">
        <f>+('DOE25'!L282)+('DOE25'!L301)+('DOE25'!L320)</f>
        <v>262542.41000000003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1901390.9500000002</v>
      </c>
      <c r="D120" s="24" t="s">
        <v>289</v>
      </c>
      <c r="E120" s="95">
        <f>+('DOE25'!L283)+('DOE25'!L302)+('DOE25'!L321)</f>
        <v>407643.93000000005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3233752.6999999997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486057.81</v>
      </c>
      <c r="D122" s="24" t="s">
        <v>289</v>
      </c>
      <c r="E122" s="95">
        <f>+('DOE25'!L285)+('DOE25'!L304)+('DOE25'!L323)</f>
        <v>78401.930000000008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4417721.5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1972001.53</v>
      </c>
      <c r="D124" s="24" t="s">
        <v>289</v>
      </c>
      <c r="E124" s="95">
        <f>+('DOE25'!L287)+('DOE25'!L306)+('DOE25'!L325)</f>
        <v>46100.639999999999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3711.25</v>
      </c>
      <c r="D125" s="24" t="s">
        <v>289</v>
      </c>
      <c r="E125" s="95">
        <f>+('DOE25'!L288)+('DOE25'!L307)+('DOE25'!L326)</f>
        <v>123263.43000000001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1808486.2399999998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16941147.240000002</v>
      </c>
      <c r="D128" s="86">
        <f>SUM(D118:D127)</f>
        <v>1808486.2399999998</v>
      </c>
      <c r="E128" s="86">
        <f>SUM(E118:E127)</f>
        <v>929253.01000000013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13466650.619999997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1811344.26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331381.37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2142725.63</v>
      </c>
      <c r="D144" s="141">
        <f>SUM(D130:D143)</f>
        <v>0</v>
      </c>
      <c r="E144" s="141">
        <f>SUM(E130:E143)</f>
        <v>0</v>
      </c>
      <c r="F144" s="141">
        <f>SUM(F130:F143)</f>
        <v>13466650.619999997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56805898.430000007</v>
      </c>
      <c r="D145" s="86">
        <f>(D115+D128+D144)</f>
        <v>1808486.2399999998</v>
      </c>
      <c r="E145" s="86">
        <f>(E115+E128+E144)</f>
        <v>3708626.79</v>
      </c>
      <c r="F145" s="86">
        <f>(F115+F128+F144)</f>
        <v>13466650.619999997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 t="str">
        <f>'DOE25'!F490</f>
        <v>VARIES</v>
      </c>
      <c r="C151" s="153">
        <f>'DOE25'!G490</f>
        <v>20</v>
      </c>
      <c r="D151" s="153">
        <f>'DOE25'!H490</f>
        <v>20</v>
      </c>
      <c r="E151" s="153">
        <f>'DOE25'!I490</f>
        <v>20</v>
      </c>
      <c r="F151" s="153" t="str">
        <f>'DOE25'!J490</f>
        <v>VARIES</v>
      </c>
      <c r="G151" s="24" t="s">
        <v>289</v>
      </c>
    </row>
    <row r="152" spans="1:9" x14ac:dyDescent="0.2">
      <c r="A152" s="136" t="s">
        <v>28</v>
      </c>
      <c r="B152" s="152" t="str">
        <f>'DOE25'!F491</f>
        <v>VARIES</v>
      </c>
      <c r="C152" s="152" t="str">
        <f>'DOE25'!G491</f>
        <v>7/1/01</v>
      </c>
      <c r="D152" s="152" t="str">
        <f>'DOE25'!H491</f>
        <v>7/1/03</v>
      </c>
      <c r="E152" s="152" t="str">
        <f>'DOE25'!I491</f>
        <v>7/1/05</v>
      </c>
      <c r="F152" s="152" t="str">
        <f>'DOE25'!J491</f>
        <v>VARIES</v>
      </c>
      <c r="G152" s="24" t="s">
        <v>289</v>
      </c>
    </row>
    <row r="153" spans="1:9" x14ac:dyDescent="0.2">
      <c r="A153" s="136" t="s">
        <v>29</v>
      </c>
      <c r="B153" s="152" t="str">
        <f>'DOE25'!F492</f>
        <v>PRIOR TO 2020</v>
      </c>
      <c r="C153" s="152" t="str">
        <f>'DOE25'!G492</f>
        <v>7/1/21</v>
      </c>
      <c r="D153" s="152" t="str">
        <f>'DOE25'!H492</f>
        <v>7/1/23</v>
      </c>
      <c r="E153" s="152" t="str">
        <f>'DOE25'!I492</f>
        <v>7/1/25</v>
      </c>
      <c r="F153" s="152" t="str">
        <f>'DOE25'!J492</f>
        <v>AFTER 2027</v>
      </c>
      <c r="G153" s="24" t="s">
        <v>289</v>
      </c>
    </row>
    <row r="154" spans="1:9" x14ac:dyDescent="0.2">
      <c r="A154" s="136" t="s">
        <v>30</v>
      </c>
      <c r="B154" s="137" t="str">
        <f>'DOE25'!F493</f>
        <v>VARIES</v>
      </c>
      <c r="C154" s="137">
        <f>'DOE25'!G493</f>
        <v>4704717</v>
      </c>
      <c r="D154" s="137">
        <f>'DOE25'!H493</f>
        <v>3237000</v>
      </c>
      <c r="E154" s="137">
        <f>'DOE25'!I493</f>
        <v>1378525</v>
      </c>
      <c r="F154" s="137">
        <f>'DOE25'!J493</f>
        <v>1992991</v>
      </c>
      <c r="G154" s="24" t="s">
        <v>289</v>
      </c>
    </row>
    <row r="155" spans="1:9" x14ac:dyDescent="0.2">
      <c r="A155" s="136" t="s">
        <v>31</v>
      </c>
      <c r="B155" s="137" t="str">
        <f>'DOE25'!F494</f>
        <v>VARIES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2542066.56</v>
      </c>
      <c r="C156" s="137">
        <f>'DOE25'!G495</f>
        <v>183770.79</v>
      </c>
      <c r="D156" s="137">
        <f>'DOE25'!H495</f>
        <v>1456369.52</v>
      </c>
      <c r="E156" s="137">
        <f>'DOE25'!I495</f>
        <v>1427000</v>
      </c>
      <c r="F156" s="137">
        <f>'DOE25'!J495</f>
        <v>3480152.79</v>
      </c>
      <c r="G156" s="138">
        <f>SUM(B156:F156)</f>
        <v>9089359.6600000001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1534381.01</v>
      </c>
      <c r="G157" s="138">
        <f t="shared" ref="G157:G164" si="0">SUM(B157:F157)</f>
        <v>1534381.01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1393763.27</v>
      </c>
      <c r="C159" s="137">
        <f>'DOE25'!G498</f>
        <v>154280</v>
      </c>
      <c r="D159" s="137">
        <f>'DOE25'!H498</f>
        <v>1240692.43</v>
      </c>
      <c r="E159" s="137">
        <f>'DOE25'!I498</f>
        <v>1267000</v>
      </c>
      <c r="F159" s="137">
        <f>'DOE25'!J498</f>
        <v>4756660.7</v>
      </c>
      <c r="G159" s="138">
        <f t="shared" si="0"/>
        <v>8812396.4000000004</v>
      </c>
    </row>
    <row r="160" spans="1:9" x14ac:dyDescent="0.2">
      <c r="A160" s="22" t="s">
        <v>36</v>
      </c>
      <c r="B160" s="137">
        <f>'DOE25'!F499</f>
        <v>76493.19</v>
      </c>
      <c r="C160" s="137">
        <f>'DOE25'!G499</f>
        <v>14425.22</v>
      </c>
      <c r="D160" s="137">
        <f>'DOE25'!H499</f>
        <v>72748.149999999994</v>
      </c>
      <c r="E160" s="137">
        <f>'DOE25'!I499</f>
        <v>231817.5</v>
      </c>
      <c r="F160" s="137">
        <f>'DOE25'!J499</f>
        <v>1153904.3899999999</v>
      </c>
      <c r="G160" s="138">
        <f t="shared" si="0"/>
        <v>1549388.45</v>
      </c>
    </row>
    <row r="161" spans="1:7" x14ac:dyDescent="0.2">
      <c r="A161" s="22" t="s">
        <v>37</v>
      </c>
      <c r="B161" s="137">
        <f>'DOE25'!F500</f>
        <v>1470256.46</v>
      </c>
      <c r="C161" s="137">
        <f>'DOE25'!G500</f>
        <v>168705.22</v>
      </c>
      <c r="D161" s="137">
        <f>'DOE25'!H500</f>
        <v>1313440.5799999998</v>
      </c>
      <c r="E161" s="137">
        <f>'DOE25'!I500</f>
        <v>1498817.5</v>
      </c>
      <c r="F161" s="137">
        <f>'DOE25'!J500</f>
        <v>5910565.0899999999</v>
      </c>
      <c r="G161" s="138">
        <f t="shared" si="0"/>
        <v>10361784.85</v>
      </c>
    </row>
    <row r="162" spans="1:7" x14ac:dyDescent="0.2">
      <c r="A162" s="22" t="s">
        <v>38</v>
      </c>
      <c r="B162" s="137">
        <f>'DOE25'!F501</f>
        <v>1124526.78</v>
      </c>
      <c r="C162" s="137">
        <f>'DOE25'!G501</f>
        <v>30856</v>
      </c>
      <c r="D162" s="137">
        <f>'DOE25'!H501</f>
        <v>213351.63</v>
      </c>
      <c r="E162" s="137">
        <f>'DOE25'!I501</f>
        <v>160000</v>
      </c>
      <c r="F162" s="137">
        <f>'DOE25'!J501</f>
        <v>365977.75</v>
      </c>
      <c r="G162" s="138">
        <f t="shared" si="0"/>
        <v>1894712.1600000001</v>
      </c>
    </row>
    <row r="163" spans="1:7" x14ac:dyDescent="0.2">
      <c r="A163" s="22" t="s">
        <v>39</v>
      </c>
      <c r="B163" s="137">
        <f>'DOE25'!F502</f>
        <v>59715.040000000001</v>
      </c>
      <c r="C163" s="137">
        <f>'DOE25'!G502</f>
        <v>4744.12</v>
      </c>
      <c r="D163" s="137">
        <f>'DOE25'!H502</f>
        <v>22148.11</v>
      </c>
      <c r="E163" s="137">
        <f>'DOE25'!I502</f>
        <v>54509</v>
      </c>
      <c r="F163" s="137">
        <f>'DOE25'!J502</f>
        <v>147748.07999999999</v>
      </c>
      <c r="G163" s="138">
        <f t="shared" si="0"/>
        <v>288864.34999999998</v>
      </c>
    </row>
    <row r="164" spans="1:7" x14ac:dyDescent="0.2">
      <c r="A164" s="22" t="s">
        <v>246</v>
      </c>
      <c r="B164" s="137">
        <f>'DOE25'!F503</f>
        <v>1184241.82</v>
      </c>
      <c r="C164" s="137">
        <f>'DOE25'!G503</f>
        <v>35600.120000000003</v>
      </c>
      <c r="D164" s="137">
        <f>'DOE25'!H503</f>
        <v>235499.74</v>
      </c>
      <c r="E164" s="137">
        <f>'DOE25'!I503</f>
        <v>214509</v>
      </c>
      <c r="F164" s="137">
        <f>'DOE25'!J503</f>
        <v>513725.82999999996</v>
      </c>
      <c r="G164" s="138">
        <f t="shared" si="0"/>
        <v>2183576.5100000002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9" workbookViewId="0">
      <selection activeCell="C39" sqref="C39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Rochester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13979</v>
      </c>
    </row>
    <row r="5" spans="1:4" x14ac:dyDescent="0.2">
      <c r="B5" t="s">
        <v>704</v>
      </c>
      <c r="C5" s="179">
        <f>IF('DOE25'!G665+'DOE25'!G670=0,0,ROUND('DOE25'!G672,0))</f>
        <v>11953</v>
      </c>
    </row>
    <row r="6" spans="1:4" x14ac:dyDescent="0.2">
      <c r="B6" t="s">
        <v>62</v>
      </c>
      <c r="C6" s="179">
        <f>IF('DOE25'!H665+'DOE25'!H670=0,0,ROUND('DOE25'!H672,0))</f>
        <v>11982</v>
      </c>
    </row>
    <row r="7" spans="1:4" x14ac:dyDescent="0.2">
      <c r="B7" t="s">
        <v>705</v>
      </c>
      <c r="C7" s="179">
        <f>IF('DOE25'!I665+'DOE25'!I670=0,0,ROUND('DOE25'!I672,0))</f>
        <v>12872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22135200</v>
      </c>
      <c r="D10" s="182">
        <f>ROUND((C10/$C$28)*100,1)</f>
        <v>37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15861342</v>
      </c>
      <c r="D11" s="182">
        <f>ROUND((C11/$C$28)*100,1)</f>
        <v>26.5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1893257</v>
      </c>
      <c r="D12" s="182">
        <f>ROUND((C12/$C$28)*100,1)</f>
        <v>3.2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567766</v>
      </c>
      <c r="D13" s="182">
        <f>ROUND((C13/$C$28)*100,1)</f>
        <v>0.9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2703145</v>
      </c>
      <c r="D15" s="182">
        <f t="shared" ref="D15:D27" si="0">ROUND((C15/$C$28)*100,1)</f>
        <v>4.5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2497209</v>
      </c>
      <c r="D16" s="182">
        <f t="shared" si="0"/>
        <v>4.2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2436010</v>
      </c>
      <c r="D17" s="182">
        <f t="shared" si="0"/>
        <v>4.0999999999999996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3233753</v>
      </c>
      <c r="D18" s="182">
        <f t="shared" si="0"/>
        <v>5.4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564460</v>
      </c>
      <c r="D19" s="182">
        <f t="shared" si="0"/>
        <v>0.9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4417722</v>
      </c>
      <c r="D20" s="182">
        <f t="shared" si="0"/>
        <v>7.4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2018102</v>
      </c>
      <c r="D21" s="182">
        <f t="shared" si="0"/>
        <v>3.4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2604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41230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ROUND('DOE25'!L261+'DOE25'!L342,0)</f>
        <v>331381</v>
      </c>
      <c r="D25" s="182">
        <f t="shared" si="0"/>
        <v>0.6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1089213.1400000001</v>
      </c>
      <c r="D27" s="182">
        <f t="shared" si="0"/>
        <v>1.8</v>
      </c>
    </row>
    <row r="28" spans="1:4" x14ac:dyDescent="0.2">
      <c r="B28" s="187" t="s">
        <v>723</v>
      </c>
      <c r="C28" s="180">
        <f>SUM(C10:C27)</f>
        <v>59792394.140000001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13466651</v>
      </c>
    </row>
    <row r="30" spans="1:4" x14ac:dyDescent="0.2">
      <c r="B30" s="187" t="s">
        <v>729</v>
      </c>
      <c r="C30" s="180">
        <f>SUM(C28:C29)</f>
        <v>73259045.140000001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1811344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25426296</v>
      </c>
      <c r="D35" s="182">
        <f t="shared" ref="D35:D40" si="1">ROUND((C35/$C$41)*100,1)</f>
        <v>39.6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4387288.3699999973</v>
      </c>
      <c r="D36" s="182">
        <f t="shared" si="1"/>
        <v>6.8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27485482</v>
      </c>
      <c r="D37" s="182">
        <f t="shared" si="1"/>
        <v>42.8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1197541</v>
      </c>
      <c r="D38" s="182">
        <f t="shared" si="1"/>
        <v>1.9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5733327</v>
      </c>
      <c r="D39" s="182">
        <f t="shared" si="1"/>
        <v>8.9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64229934.369999997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11" sqref="C11:M11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Rochester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19</v>
      </c>
      <c r="B4" s="219" t="s">
        <v>924</v>
      </c>
      <c r="C4" s="285" t="s">
        <v>926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 t="s">
        <v>925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>
        <v>19</v>
      </c>
      <c r="B7" s="219" t="s">
        <v>920</v>
      </c>
      <c r="C7" s="285" t="s">
        <v>922</v>
      </c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>
        <v>19</v>
      </c>
      <c r="B8" s="219" t="s">
        <v>921</v>
      </c>
      <c r="C8" s="285" t="s">
        <v>923</v>
      </c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>
        <v>19</v>
      </c>
      <c r="B10" s="219" t="s">
        <v>927</v>
      </c>
      <c r="C10" s="285" t="s">
        <v>928</v>
      </c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2015-09-08T12:11:34Z</cp:lastPrinted>
  <dcterms:created xsi:type="dcterms:W3CDTF">1997-12-04T19:04:30Z</dcterms:created>
  <dcterms:modified xsi:type="dcterms:W3CDTF">2015-11-30T13:53:12Z</dcterms:modified>
</cp:coreProperties>
</file>