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" i="1" l="1"/>
  <c r="D9" i="13" l="1"/>
  <c r="C37" i="12"/>
  <c r="B37" i="12"/>
  <c r="C20" i="12"/>
  <c r="C19" i="12"/>
  <c r="B20" i="12"/>
  <c r="B19" i="12"/>
  <c r="C10" i="12"/>
  <c r="C12" i="12"/>
  <c r="C11" i="12"/>
  <c r="B12" i="12"/>
  <c r="B11" i="12"/>
  <c r="B10" i="12"/>
  <c r="G611" i="1"/>
  <c r="H155" i="1"/>
  <c r="H154" i="1"/>
  <c r="H12" i="1"/>
  <c r="F12" i="1"/>
  <c r="F459" i="1"/>
  <c r="H392" i="1"/>
  <c r="J96" i="1"/>
  <c r="G97" i="1"/>
  <c r="G49" i="1"/>
  <c r="G22" i="1"/>
  <c r="G12" i="1"/>
  <c r="F582" i="1"/>
  <c r="F57" i="1" l="1"/>
  <c r="F101" i="1"/>
  <c r="F2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C16" i="10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E109" i="2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E122" i="2" s="1"/>
  <c r="L324" i="1"/>
  <c r="L325" i="1"/>
  <c r="L326" i="1"/>
  <c r="L333" i="1"/>
  <c r="E114" i="2" s="1"/>
  <c r="L334" i="1"/>
  <c r="L335" i="1"/>
  <c r="L260" i="1"/>
  <c r="C131" i="2" s="1"/>
  <c r="L261" i="1"/>
  <c r="L341" i="1"/>
  <c r="C32" i="10" s="1"/>
  <c r="L342" i="1"/>
  <c r="C25" i="10" s="1"/>
  <c r="L255" i="1"/>
  <c r="C130" i="2" s="1"/>
  <c r="L336" i="1"/>
  <c r="F22" i="13" s="1"/>
  <c r="C22" i="13" s="1"/>
  <c r="C11" i="13"/>
  <c r="C10" i="13"/>
  <c r="C9" i="13"/>
  <c r="L361" i="1"/>
  <c r="L362" i="1" s="1"/>
  <c r="G472" i="1" s="1"/>
  <c r="G474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C56" i="2" s="1"/>
  <c r="G60" i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H169" i="1" s="1"/>
  <c r="I147" i="1"/>
  <c r="I162" i="1"/>
  <c r="I169" i="1" s="1"/>
  <c r="C18" i="10"/>
  <c r="C19" i="10"/>
  <c r="L250" i="1"/>
  <c r="L332" i="1"/>
  <c r="E113" i="2" s="1"/>
  <c r="L254" i="1"/>
  <c r="L268" i="1"/>
  <c r="L269" i="1"/>
  <c r="C143" i="2" s="1"/>
  <c r="L349" i="1"/>
  <c r="E142" i="2" s="1"/>
  <c r="L350" i="1"/>
  <c r="C26" i="10" s="1"/>
  <c r="I665" i="1"/>
  <c r="I670" i="1"/>
  <c r="G662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D115" i="2"/>
  <c r="F115" i="2"/>
  <c r="G115" i="2"/>
  <c r="C119" i="2"/>
  <c r="C122" i="2"/>
  <c r="E124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G624" i="1" s="1"/>
  <c r="I51" i="1"/>
  <c r="G625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F461" i="1" s="1"/>
  <c r="H639" i="1" s="1"/>
  <c r="G452" i="1"/>
  <c r="G461" i="1" s="1"/>
  <c r="H640" i="1" s="1"/>
  <c r="H452" i="1"/>
  <c r="F460" i="1"/>
  <c r="G460" i="1"/>
  <c r="H460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G622" i="1"/>
  <c r="G623" i="1"/>
  <c r="G634" i="1"/>
  <c r="H636" i="1"/>
  <c r="G641" i="1"/>
  <c r="G643" i="1"/>
  <c r="G644" i="1"/>
  <c r="G650" i="1"/>
  <c r="G651" i="1"/>
  <c r="G652" i="1"/>
  <c r="H652" i="1"/>
  <c r="G653" i="1"/>
  <c r="H653" i="1"/>
  <c r="G654" i="1"/>
  <c r="H654" i="1"/>
  <c r="H655" i="1"/>
  <c r="J655" i="1" s="1"/>
  <c r="C91" i="2"/>
  <c r="F78" i="2"/>
  <c r="F81" i="2" s="1"/>
  <c r="D50" i="2"/>
  <c r="E103" i="2"/>
  <c r="G62" i="2"/>
  <c r="L427" i="1"/>
  <c r="G22" i="2"/>
  <c r="H140" i="1"/>
  <c r="H338" i="1"/>
  <c r="H352" i="1" s="1"/>
  <c r="E123" i="2" l="1"/>
  <c r="A31" i="12"/>
  <c r="A13" i="12"/>
  <c r="J552" i="1"/>
  <c r="L544" i="1"/>
  <c r="L539" i="1"/>
  <c r="I552" i="1"/>
  <c r="J651" i="1"/>
  <c r="G545" i="1"/>
  <c r="H552" i="1"/>
  <c r="K551" i="1"/>
  <c r="L534" i="1"/>
  <c r="K545" i="1"/>
  <c r="H545" i="1"/>
  <c r="K549" i="1"/>
  <c r="G552" i="1"/>
  <c r="K550" i="1"/>
  <c r="J545" i="1"/>
  <c r="L529" i="1"/>
  <c r="L524" i="1"/>
  <c r="L565" i="1"/>
  <c r="I571" i="1"/>
  <c r="K571" i="1"/>
  <c r="F571" i="1"/>
  <c r="L560" i="1"/>
  <c r="L571" i="1" s="1"/>
  <c r="L614" i="1"/>
  <c r="G164" i="2"/>
  <c r="K503" i="1"/>
  <c r="G157" i="2"/>
  <c r="G156" i="2"/>
  <c r="G161" i="2"/>
  <c r="K500" i="1"/>
  <c r="L328" i="1"/>
  <c r="E120" i="2"/>
  <c r="E121" i="2"/>
  <c r="E119" i="2"/>
  <c r="L309" i="1"/>
  <c r="E118" i="2"/>
  <c r="F338" i="1"/>
  <c r="F352" i="1" s="1"/>
  <c r="E112" i="2"/>
  <c r="E115" i="2" s="1"/>
  <c r="K338" i="1"/>
  <c r="K352" i="1" s="1"/>
  <c r="G338" i="1"/>
  <c r="G352" i="1" s="1"/>
  <c r="J338" i="1"/>
  <c r="J352" i="1" s="1"/>
  <c r="H604" i="1" s="1"/>
  <c r="F663" i="1" s="1"/>
  <c r="I663" i="1" s="1"/>
  <c r="L290" i="1"/>
  <c r="C13" i="10"/>
  <c r="E143" i="2"/>
  <c r="L351" i="1"/>
  <c r="H25" i="13"/>
  <c r="C25" i="13" s="1"/>
  <c r="E31" i="2"/>
  <c r="I460" i="1"/>
  <c r="H461" i="1"/>
  <c r="H641" i="1" s="1"/>
  <c r="J641" i="1" s="1"/>
  <c r="J640" i="1"/>
  <c r="I452" i="1"/>
  <c r="J639" i="1"/>
  <c r="I446" i="1"/>
  <c r="G642" i="1" s="1"/>
  <c r="J634" i="1"/>
  <c r="H635" i="1"/>
  <c r="H661" i="1"/>
  <c r="D127" i="2"/>
  <c r="D128" i="2" s="1"/>
  <c r="D145" i="2" s="1"/>
  <c r="F661" i="1"/>
  <c r="I661" i="1" s="1"/>
  <c r="D29" i="13"/>
  <c r="C29" i="13" s="1"/>
  <c r="D18" i="2"/>
  <c r="K598" i="1"/>
  <c r="G647" i="1" s="1"/>
  <c r="L419" i="1"/>
  <c r="H408" i="1"/>
  <c r="H644" i="1" s="1"/>
  <c r="J644" i="1" s="1"/>
  <c r="L393" i="1"/>
  <c r="C138" i="2" s="1"/>
  <c r="J636" i="1"/>
  <c r="L382" i="1"/>
  <c r="G636" i="1" s="1"/>
  <c r="C29" i="10"/>
  <c r="C10" i="10"/>
  <c r="C21" i="10"/>
  <c r="G649" i="1"/>
  <c r="J649" i="1" s="1"/>
  <c r="D15" i="13"/>
  <c r="C15" i="13" s="1"/>
  <c r="H647" i="1"/>
  <c r="J647" i="1"/>
  <c r="C124" i="2"/>
  <c r="F662" i="1"/>
  <c r="I662" i="1" s="1"/>
  <c r="C123" i="2"/>
  <c r="C17" i="10"/>
  <c r="C118" i="2"/>
  <c r="C15" i="10"/>
  <c r="A40" i="12"/>
  <c r="I257" i="1"/>
  <c r="I271" i="1" s="1"/>
  <c r="L211" i="1"/>
  <c r="L256" i="1"/>
  <c r="H257" i="1"/>
  <c r="H271" i="1" s="1"/>
  <c r="D18" i="13"/>
  <c r="C18" i="13" s="1"/>
  <c r="C121" i="2"/>
  <c r="C120" i="2"/>
  <c r="L247" i="1"/>
  <c r="D7" i="13"/>
  <c r="C7" i="13" s="1"/>
  <c r="E16" i="13"/>
  <c r="C16" i="13" s="1"/>
  <c r="E8" i="13"/>
  <c r="C8" i="13" s="1"/>
  <c r="F257" i="1"/>
  <c r="F271" i="1" s="1"/>
  <c r="C12" i="10"/>
  <c r="C11" i="10"/>
  <c r="K257" i="1"/>
  <c r="K271" i="1" s="1"/>
  <c r="G257" i="1"/>
  <c r="G271" i="1" s="1"/>
  <c r="C20" i="10"/>
  <c r="D14" i="13"/>
  <c r="C14" i="13" s="1"/>
  <c r="D12" i="13"/>
  <c r="C12" i="13" s="1"/>
  <c r="J257" i="1"/>
  <c r="J271" i="1" s="1"/>
  <c r="C110" i="2"/>
  <c r="L229" i="1"/>
  <c r="C111" i="2"/>
  <c r="C109" i="2"/>
  <c r="D5" i="13"/>
  <c r="C5" i="13" s="1"/>
  <c r="G645" i="1"/>
  <c r="J645" i="1" s="1"/>
  <c r="G192" i="1"/>
  <c r="F192" i="1"/>
  <c r="D81" i="2"/>
  <c r="E78" i="2"/>
  <c r="E81" i="2" s="1"/>
  <c r="C78" i="2"/>
  <c r="G81" i="2"/>
  <c r="C70" i="2"/>
  <c r="D62" i="2"/>
  <c r="D63" i="2" s="1"/>
  <c r="E62" i="2"/>
  <c r="E63" i="2" s="1"/>
  <c r="C81" i="2"/>
  <c r="H112" i="1"/>
  <c r="H193" i="1" s="1"/>
  <c r="C62" i="2"/>
  <c r="C63" i="2" s="1"/>
  <c r="F112" i="1"/>
  <c r="I112" i="1"/>
  <c r="C35" i="10"/>
  <c r="J617" i="1"/>
  <c r="I52" i="1"/>
  <c r="H620" i="1" s="1"/>
  <c r="J620" i="1" s="1"/>
  <c r="H52" i="1"/>
  <c r="H619" i="1" s="1"/>
  <c r="J619" i="1" s="1"/>
  <c r="F18" i="2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D103" i="2"/>
  <c r="I140" i="1"/>
  <c r="A22" i="12"/>
  <c r="G50" i="2"/>
  <c r="J652" i="1"/>
  <c r="G571" i="1"/>
  <c r="I434" i="1"/>
  <c r="G434" i="1"/>
  <c r="C27" i="10"/>
  <c r="G635" i="1"/>
  <c r="H660" i="1" l="1"/>
  <c r="H664" i="1" s="1"/>
  <c r="H667" i="1" s="1"/>
  <c r="G660" i="1"/>
  <c r="G664" i="1" s="1"/>
  <c r="G672" i="1" s="1"/>
  <c r="C5" i="10" s="1"/>
  <c r="K552" i="1"/>
  <c r="L545" i="1"/>
  <c r="E128" i="2"/>
  <c r="E145" i="2" s="1"/>
  <c r="L338" i="1"/>
  <c r="L352" i="1" s="1"/>
  <c r="H472" i="1" s="1"/>
  <c r="D31" i="13"/>
  <c r="C31" i="13" s="1"/>
  <c r="K604" i="1"/>
  <c r="K605" i="1" s="1"/>
  <c r="G648" i="1" s="1"/>
  <c r="H605" i="1"/>
  <c r="H33" i="13"/>
  <c r="E51" i="2"/>
  <c r="I461" i="1"/>
  <c r="H642" i="1" s="1"/>
  <c r="J642" i="1" s="1"/>
  <c r="G51" i="2"/>
  <c r="J635" i="1"/>
  <c r="G638" i="1"/>
  <c r="J472" i="1"/>
  <c r="L408" i="1"/>
  <c r="G637" i="1" s="1"/>
  <c r="C141" i="2"/>
  <c r="C144" i="2" s="1"/>
  <c r="L257" i="1"/>
  <c r="L271" i="1" s="1"/>
  <c r="H648" i="1"/>
  <c r="C128" i="2"/>
  <c r="F660" i="1"/>
  <c r="F664" i="1" s="1"/>
  <c r="F672" i="1" s="1"/>
  <c r="C4" i="10" s="1"/>
  <c r="E33" i="13"/>
  <c r="D35" i="13" s="1"/>
  <c r="C28" i="10"/>
  <c r="D19" i="10" s="1"/>
  <c r="C115" i="2"/>
  <c r="F104" i="2"/>
  <c r="E104" i="2"/>
  <c r="G104" i="2"/>
  <c r="H672" i="1"/>
  <c r="C6" i="10" s="1"/>
  <c r="D104" i="2"/>
  <c r="G667" i="1"/>
  <c r="C104" i="2"/>
  <c r="F193" i="1"/>
  <c r="G627" i="1" s="1"/>
  <c r="C36" i="10"/>
  <c r="I193" i="1"/>
  <c r="G630" i="1" s="1"/>
  <c r="G629" i="1"/>
  <c r="H468" i="1"/>
  <c r="G646" i="1"/>
  <c r="J468" i="1"/>
  <c r="C51" i="2"/>
  <c r="G631" i="1"/>
  <c r="G193" i="1"/>
  <c r="G626" i="1"/>
  <c r="J52" i="1"/>
  <c r="H621" i="1" s="1"/>
  <c r="J621" i="1" s="1"/>
  <c r="C38" i="10"/>
  <c r="G632" i="1" l="1"/>
  <c r="D33" i="13"/>
  <c r="D36" i="13" s="1"/>
  <c r="J648" i="1"/>
  <c r="G633" i="1"/>
  <c r="H633" i="1"/>
  <c r="H474" i="1"/>
  <c r="J474" i="1"/>
  <c r="H638" i="1"/>
  <c r="J638" i="1" s="1"/>
  <c r="H646" i="1"/>
  <c r="J646" i="1" s="1"/>
  <c r="F472" i="1"/>
  <c r="F474" i="1" s="1"/>
  <c r="C145" i="2"/>
  <c r="F667" i="1"/>
  <c r="I660" i="1"/>
  <c r="I664" i="1" s="1"/>
  <c r="I672" i="1" s="1"/>
  <c r="C7" i="10" s="1"/>
  <c r="C30" i="10"/>
  <c r="D10" i="10"/>
  <c r="D20" i="10"/>
  <c r="D25" i="10"/>
  <c r="D15" i="10"/>
  <c r="D22" i="10"/>
  <c r="D26" i="10"/>
  <c r="D16" i="10"/>
  <c r="D13" i="10"/>
  <c r="D11" i="10"/>
  <c r="D21" i="10"/>
  <c r="D24" i="10"/>
  <c r="D27" i="10"/>
  <c r="D18" i="10"/>
  <c r="D17" i="10"/>
  <c r="D12" i="10"/>
  <c r="D23" i="10"/>
  <c r="I468" i="1"/>
  <c r="I470" i="1" s="1"/>
  <c r="I476" i="1" s="1"/>
  <c r="H625" i="1" s="1"/>
  <c r="J625" i="1" s="1"/>
  <c r="F468" i="1"/>
  <c r="H627" i="1" s="1"/>
  <c r="J627" i="1" s="1"/>
  <c r="H637" i="1"/>
  <c r="J637" i="1" s="1"/>
  <c r="H631" i="1"/>
  <c r="J631" i="1" s="1"/>
  <c r="J470" i="1"/>
  <c r="J476" i="1" s="1"/>
  <c r="H626" i="1" s="1"/>
  <c r="J626" i="1" s="1"/>
  <c r="H629" i="1"/>
  <c r="J629" i="1" s="1"/>
  <c r="H470" i="1"/>
  <c r="G628" i="1"/>
  <c r="G468" i="1"/>
  <c r="F470" i="1"/>
  <c r="C41" i="10"/>
  <c r="D38" i="10" s="1"/>
  <c r="H476" i="1" l="1"/>
  <c r="H624" i="1" s="1"/>
  <c r="J624" i="1" s="1"/>
  <c r="J633" i="1"/>
  <c r="F476" i="1"/>
  <c r="H622" i="1" s="1"/>
  <c r="J622" i="1" s="1"/>
  <c r="H632" i="1"/>
  <c r="J632" i="1" s="1"/>
  <c r="I667" i="1"/>
  <c r="D28" i="10"/>
  <c r="H630" i="1"/>
  <c r="J630" i="1" s="1"/>
  <c r="G470" i="1"/>
  <c r="G476" i="1" s="1"/>
  <c r="H623" i="1" s="1"/>
  <c r="J623" i="1" s="1"/>
  <c r="H628" i="1"/>
  <c r="J628" i="1" s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<sst xmlns="http://schemas.openxmlformats.org/spreadsheetml/2006/main" count="3964" uniqueCount="913">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</sst>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7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912</v>
      </c>
      <c r="B2" s="21">
        <v>463</v>
      </c>
      <c r="C2" s="21">
        <v>463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297908.01</v>
      </c>
      <c r="G9" s="18">
        <v>0</v>
      </c>
      <c r="H9" s="18">
        <v>0</v>
      </c>
      <c r="I9" s="18">
        <v>0</v>
      </c>
      <c r="J9" s="66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4715.57</v>
      </c>
      <c r="G10" s="18">
        <v>0</v>
      </c>
      <c r="H10" s="18">
        <v>0</v>
      </c>
      <c r="I10" s="18">
        <v>0</v>
      </c>
      <c r="J10" s="66">
        <f>SUM(I440)</f>
        <v>158592.26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283068.22+188961.09-100000</f>
        <v>372029.30999999994</v>
      </c>
      <c r="G12" s="18">
        <f>3657.55+1957.4</f>
        <v>5614.9500000000007</v>
      </c>
      <c r="H12" s="18">
        <f>264522.69-25909.47</f>
        <v>238613.22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1451.89</v>
      </c>
      <c r="H13" s="18">
        <v>18545.53</v>
      </c>
      <c r="I13" s="18">
        <v>0</v>
      </c>
      <c r="J13" s="66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2036.33</v>
      </c>
      <c r="G14" s="18">
        <v>184810.68</v>
      </c>
      <c r="H14" s="18">
        <v>0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676689.21999999986</v>
      </c>
      <c r="G19" s="41">
        <f>SUM(G9:G18)</f>
        <v>191877.52</v>
      </c>
      <c r="H19" s="41">
        <f>SUM(H9:H18)</f>
        <v>257158.75</v>
      </c>
      <c r="I19" s="41">
        <f>SUM(I9:I18)</f>
        <v>0</v>
      </c>
      <c r="J19" s="41">
        <f>SUM(J9:J18)</f>
        <v>158592.26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264522.69+184810.68</f>
        <v>449333.37</v>
      </c>
      <c r="G22" s="18">
        <f>184903.35+4057.74</f>
        <v>188961.09</v>
      </c>
      <c r="H22" s="18">
        <v>257158.75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171609.16</v>
      </c>
      <c r="G24" s="18">
        <v>0</v>
      </c>
      <c r="H24" s="18">
        <v>0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23.42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2007.94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620965.95000000007</v>
      </c>
      <c r="G32" s="41">
        <f>SUM(G22:G31)</f>
        <v>190969.03</v>
      </c>
      <c r="H32" s="41">
        <f>SUM(H22:H31)</f>
        <v>257158.75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196959.53-158210.1</f>
        <v>38749.429999999993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158592.26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16973.84</v>
      </c>
      <c r="G49" s="18">
        <f>5790.93-4882.44</f>
        <v>908.49000000000069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55723.26999999999</v>
      </c>
      <c r="G51" s="41">
        <f>SUM(G35:G50)</f>
        <v>908.49000000000069</v>
      </c>
      <c r="H51" s="41">
        <f>SUM(H35:H50)</f>
        <v>0</v>
      </c>
      <c r="I51" s="41">
        <f>SUM(I35:I50)</f>
        <v>0</v>
      </c>
      <c r="J51" s="41">
        <f>SUM(J35:J50)</f>
        <v>158592.26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676689.22000000009</v>
      </c>
      <c r="G52" s="41">
        <f>G51+G32</f>
        <v>191877.52</v>
      </c>
      <c r="H52" s="41">
        <f>H51+H32</f>
        <v>257158.75</v>
      </c>
      <c r="I52" s="41">
        <f>I51+I32</f>
        <v>0</v>
      </c>
      <c r="J52" s="41">
        <f>J51+J32</f>
        <v>158592.26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3812588+1</f>
        <v>3812589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3812589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90.19</v>
      </c>
      <c r="G96" s="18">
        <v>0</v>
      </c>
      <c r="H96" s="18">
        <v>0</v>
      </c>
      <c r="I96" s="18">
        <v>0</v>
      </c>
      <c r="J96" s="18">
        <f>8.88+3.72</f>
        <v>12.600000000000001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23870.73+439.5+691.1-7614.5+2282.55+121.8</f>
        <v>19791.179999999997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2200</f>
        <v>2200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2290.19</v>
      </c>
      <c r="G111" s="41">
        <f>SUM(G96:G110)</f>
        <v>19791.179999999997</v>
      </c>
      <c r="H111" s="41">
        <f>SUM(H96:H110)</f>
        <v>0</v>
      </c>
      <c r="I111" s="41">
        <f>SUM(I96:I110)</f>
        <v>0</v>
      </c>
      <c r="J111" s="41">
        <f>SUM(J96:J110)</f>
        <v>12.600000000000001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3814879.19</v>
      </c>
      <c r="G112" s="41">
        <f>G60+G111</f>
        <v>19791.179999999997</v>
      </c>
      <c r="H112" s="41">
        <f>H60+H79+H94+H111</f>
        <v>0</v>
      </c>
      <c r="I112" s="41">
        <f>I60+I111</f>
        <v>0</v>
      </c>
      <c r="J112" s="41">
        <f>J60+J111</f>
        <v>12.600000000000001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628759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570484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1199243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24685.68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642.45000000000005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24685.68</v>
      </c>
      <c r="G136" s="41">
        <f>SUM(G123:G135)</f>
        <v>642.45000000000005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1223928.68</v>
      </c>
      <c r="G140" s="41">
        <f>G121+SUM(G136:G137)</f>
        <v>642.45000000000005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5597.41+25162.44</f>
        <v>30759.85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12306.33+15114.15</f>
        <v>27420.48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13973.25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38274.6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38274.6</v>
      </c>
      <c r="G162" s="41">
        <f>SUM(G150:G161)</f>
        <v>13973.25</v>
      </c>
      <c r="H162" s="41">
        <f>SUM(H150:H161)</f>
        <v>58180.33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38274.6</v>
      </c>
      <c r="G169" s="41">
        <f>G147+G162+SUM(G163:G168)</f>
        <v>13973.25</v>
      </c>
      <c r="H169" s="41">
        <f>H147+H162+SUM(H163:H168)</f>
        <v>58180.33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10000</v>
      </c>
      <c r="H179" s="18">
        <v>0</v>
      </c>
      <c r="I179" s="18">
        <v>0</v>
      </c>
      <c r="J179" s="18">
        <v>100000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10000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10000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5077082.47</v>
      </c>
      <c r="G193" s="47">
        <f>G112+G140+G169+G192</f>
        <v>44406.879999999997</v>
      </c>
      <c r="H193" s="47">
        <f>H112+H140+H169+H192</f>
        <v>58180.33</v>
      </c>
      <c r="I193" s="47">
        <f>I112+I140+I169+I192</f>
        <v>0</v>
      </c>
      <c r="J193" s="47">
        <f>J112+J140+J192</f>
        <v>100012.6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872800.13</v>
      </c>
      <c r="G197" s="18">
        <v>387531.77</v>
      </c>
      <c r="H197" s="18">
        <v>39668.870000000024</v>
      </c>
      <c r="I197" s="18">
        <v>34373.32</v>
      </c>
      <c r="J197" s="18">
        <v>26807.24</v>
      </c>
      <c r="K197" s="18">
        <v>0</v>
      </c>
      <c r="L197" s="19">
        <f>SUM(F197:K197)</f>
        <v>1361181.33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333883.27</v>
      </c>
      <c r="G198" s="18">
        <v>110657.8</v>
      </c>
      <c r="H198" s="18">
        <v>169970.88</v>
      </c>
      <c r="I198" s="18">
        <v>1695.89</v>
      </c>
      <c r="J198" s="18">
        <v>1042.33</v>
      </c>
      <c r="K198" s="18">
        <v>0</v>
      </c>
      <c r="L198" s="19">
        <f>SUM(F198:K198)</f>
        <v>617250.16999999993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1040</v>
      </c>
      <c r="G200" s="18">
        <v>226.82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1266.82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190682</v>
      </c>
      <c r="G202" s="18">
        <v>101626.71</v>
      </c>
      <c r="H202" s="18">
        <v>45240.2</v>
      </c>
      <c r="I202" s="18">
        <v>1551.1100000000001</v>
      </c>
      <c r="J202" s="18">
        <v>0</v>
      </c>
      <c r="K202" s="18">
        <v>0</v>
      </c>
      <c r="L202" s="19">
        <f t="shared" ref="L202:L208" si="0">SUM(F202:K202)</f>
        <v>339100.02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39400.519999999997</v>
      </c>
      <c r="G203" s="18">
        <v>8546.59</v>
      </c>
      <c r="H203" s="18">
        <v>2554.23</v>
      </c>
      <c r="I203" s="18">
        <v>2294.2800000000002</v>
      </c>
      <c r="J203" s="18">
        <v>2657.52</v>
      </c>
      <c r="K203" s="18">
        <v>1386.05</v>
      </c>
      <c r="L203" s="19">
        <f t="shared" si="0"/>
        <v>56839.19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10130</v>
      </c>
      <c r="G204" s="18">
        <v>1211.97</v>
      </c>
      <c r="H204" s="18">
        <v>254452.49</v>
      </c>
      <c r="I204" s="18">
        <v>446.65</v>
      </c>
      <c r="J204" s="18">
        <v>0</v>
      </c>
      <c r="K204" s="18">
        <v>3009.3</v>
      </c>
      <c r="L204" s="19">
        <f t="shared" si="0"/>
        <v>269250.40999999997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120337.5</v>
      </c>
      <c r="G205" s="18">
        <v>52628.14</v>
      </c>
      <c r="H205" s="18">
        <v>1419.07</v>
      </c>
      <c r="I205" s="18">
        <v>640.87</v>
      </c>
      <c r="J205" s="18">
        <v>0</v>
      </c>
      <c r="K205" s="18">
        <v>0</v>
      </c>
      <c r="L205" s="19">
        <f t="shared" si="0"/>
        <v>175025.58000000002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126286.32</v>
      </c>
      <c r="G207" s="18">
        <v>58075.02</v>
      </c>
      <c r="H207" s="18">
        <v>203510.23</v>
      </c>
      <c r="I207" s="18">
        <v>63416.229999999996</v>
      </c>
      <c r="J207" s="18">
        <v>31025</v>
      </c>
      <c r="K207" s="18">
        <v>0</v>
      </c>
      <c r="L207" s="19">
        <f t="shared" si="0"/>
        <v>482312.8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113931.41727272728</v>
      </c>
      <c r="I208" s="18">
        <v>0</v>
      </c>
      <c r="J208" s="18">
        <v>0</v>
      </c>
      <c r="K208" s="18">
        <v>0</v>
      </c>
      <c r="L208" s="19">
        <f t="shared" si="0"/>
        <v>113931.41727272728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1694559.74</v>
      </c>
      <c r="G211" s="41">
        <f t="shared" si="1"/>
        <v>720504.82</v>
      </c>
      <c r="H211" s="41">
        <f t="shared" si="1"/>
        <v>830747.38727272733</v>
      </c>
      <c r="I211" s="41">
        <f t="shared" si="1"/>
        <v>104418.35</v>
      </c>
      <c r="J211" s="41">
        <f t="shared" si="1"/>
        <v>61532.09</v>
      </c>
      <c r="K211" s="41">
        <f t="shared" si="1"/>
        <v>4395.3500000000004</v>
      </c>
      <c r="L211" s="41">
        <f t="shared" si="1"/>
        <v>3416157.7372727273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416350.9</v>
      </c>
      <c r="I215" s="18">
        <v>0</v>
      </c>
      <c r="J215" s="18">
        <v>0</v>
      </c>
      <c r="K215" s="18">
        <v>0</v>
      </c>
      <c r="L215" s="19">
        <f>SUM(F215:K215)</f>
        <v>416350.9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25020.098181818179</v>
      </c>
      <c r="I226" s="18">
        <v>0</v>
      </c>
      <c r="J226" s="18">
        <v>0</v>
      </c>
      <c r="K226" s="18">
        <v>0</v>
      </c>
      <c r="L226" s="19">
        <f t="shared" si="2"/>
        <v>25020.098181818179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441370.99818181823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441370.99818181823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881043.85</v>
      </c>
      <c r="I233" s="18">
        <v>0</v>
      </c>
      <c r="J233" s="18">
        <v>0</v>
      </c>
      <c r="K233" s="18">
        <v>0</v>
      </c>
      <c r="L233" s="19">
        <f>SUM(F233:K233)</f>
        <v>881043.85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269555.20000000001</v>
      </c>
      <c r="I234" s="18">
        <v>0</v>
      </c>
      <c r="J234" s="18">
        <v>0</v>
      </c>
      <c r="K234" s="18">
        <v>0</v>
      </c>
      <c r="L234" s="19">
        <f>SUM(F234:K234)</f>
        <v>269555.20000000001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117164.78454545455</v>
      </c>
      <c r="I244" s="18">
        <v>0</v>
      </c>
      <c r="J244" s="18">
        <v>0</v>
      </c>
      <c r="K244" s="18">
        <v>0</v>
      </c>
      <c r="L244" s="19">
        <f t="shared" si="4"/>
        <v>117164.78454545455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1267763.8345454545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1267763.8345454545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1694559.74</v>
      </c>
      <c r="G257" s="41">
        <f t="shared" si="8"/>
        <v>720504.82</v>
      </c>
      <c r="H257" s="41">
        <f t="shared" si="8"/>
        <v>2539882.2199999997</v>
      </c>
      <c r="I257" s="41">
        <f t="shared" si="8"/>
        <v>104418.35</v>
      </c>
      <c r="J257" s="41">
        <f t="shared" si="8"/>
        <v>61532.09</v>
      </c>
      <c r="K257" s="41">
        <f t="shared" si="8"/>
        <v>4395.3500000000004</v>
      </c>
      <c r="L257" s="41">
        <f t="shared" si="8"/>
        <v>5125292.57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10000</v>
      </c>
      <c r="L263" s="19">
        <f>SUM(F263:K263)</f>
        <v>10000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110000</v>
      </c>
      <c r="L270" s="41">
        <f t="shared" si="9"/>
        <v>110000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1694559.74</v>
      </c>
      <c r="G271" s="42">
        <f t="shared" si="11"/>
        <v>720504.82</v>
      </c>
      <c r="H271" s="42">
        <f t="shared" si="11"/>
        <v>2539882.2199999997</v>
      </c>
      <c r="I271" s="42">
        <f t="shared" si="11"/>
        <v>104418.35</v>
      </c>
      <c r="J271" s="42">
        <f t="shared" si="11"/>
        <v>61532.09</v>
      </c>
      <c r="K271" s="42">
        <f t="shared" si="11"/>
        <v>114395.35</v>
      </c>
      <c r="L271" s="42">
        <f t="shared" si="11"/>
        <v>5235292.57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17029.07</v>
      </c>
      <c r="G276" s="18">
        <v>3136.88</v>
      </c>
      <c r="H276" s="18">
        <v>395.11</v>
      </c>
      <c r="I276" s="18">
        <v>455.28</v>
      </c>
      <c r="J276" s="18">
        <v>0</v>
      </c>
      <c r="K276" s="18">
        <v>0</v>
      </c>
      <c r="L276" s="19">
        <f>SUM(F276:K276)</f>
        <v>21016.34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13.21</v>
      </c>
      <c r="J277" s="18">
        <v>0</v>
      </c>
      <c r="K277" s="18">
        <v>0</v>
      </c>
      <c r="L277" s="19">
        <f>SUM(F277:K277)</f>
        <v>13.21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3120</v>
      </c>
      <c r="G279" s="18">
        <v>574.67999999999995</v>
      </c>
      <c r="H279" s="18">
        <v>1638.6</v>
      </c>
      <c r="I279" s="18">
        <v>0</v>
      </c>
      <c r="J279" s="18">
        <v>0</v>
      </c>
      <c r="K279" s="18">
        <v>0</v>
      </c>
      <c r="L279" s="19">
        <f>SUM(F279:K279)</f>
        <v>5333.28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12306.33</v>
      </c>
      <c r="H281" s="18">
        <v>13808.28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26114.61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500</v>
      </c>
      <c r="G282" s="18">
        <v>38.25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538.25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3952</v>
      </c>
      <c r="G285" s="18">
        <v>302.33999999999997</v>
      </c>
      <c r="H285" s="18">
        <v>0</v>
      </c>
      <c r="I285" s="18">
        <v>0</v>
      </c>
      <c r="J285" s="18">
        <v>0</v>
      </c>
      <c r="K285" s="18">
        <v>910.3</v>
      </c>
      <c r="L285" s="19">
        <f t="shared" si="12"/>
        <v>5164.6400000000003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24601.07</v>
      </c>
      <c r="G290" s="42">
        <f t="shared" si="13"/>
        <v>16358.48</v>
      </c>
      <c r="H290" s="42">
        <f t="shared" si="13"/>
        <v>15841.990000000002</v>
      </c>
      <c r="I290" s="42">
        <f t="shared" si="13"/>
        <v>468.48999999999995</v>
      </c>
      <c r="J290" s="42">
        <f t="shared" si="13"/>
        <v>0</v>
      </c>
      <c r="K290" s="42">
        <f t="shared" si="13"/>
        <v>910.3</v>
      </c>
      <c r="L290" s="41">
        <f t="shared" si="13"/>
        <v>58180.33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24601.07</v>
      </c>
      <c r="G338" s="41">
        <f t="shared" si="20"/>
        <v>16358.48</v>
      </c>
      <c r="H338" s="41">
        <f t="shared" si="20"/>
        <v>15841.990000000002</v>
      </c>
      <c r="I338" s="41">
        <f t="shared" si="20"/>
        <v>468.48999999999995</v>
      </c>
      <c r="J338" s="41">
        <f t="shared" si="20"/>
        <v>0</v>
      </c>
      <c r="K338" s="41">
        <f t="shared" si="20"/>
        <v>910.3</v>
      </c>
      <c r="L338" s="41">
        <f t="shared" si="20"/>
        <v>58180.33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24601.07</v>
      </c>
      <c r="G352" s="41">
        <f>G338</f>
        <v>16358.48</v>
      </c>
      <c r="H352" s="41">
        <f>H338</f>
        <v>15841.990000000002</v>
      </c>
      <c r="I352" s="41">
        <f>I338</f>
        <v>468.48999999999995</v>
      </c>
      <c r="J352" s="41">
        <f>J338</f>
        <v>0</v>
      </c>
      <c r="K352" s="47">
        <f>K338+K351</f>
        <v>910.3</v>
      </c>
      <c r="L352" s="41">
        <f>L338+L351</f>
        <v>58180.33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41530.449999999997</v>
      </c>
      <c r="I358" s="18">
        <v>7758.87</v>
      </c>
      <c r="J358" s="18">
        <v>0</v>
      </c>
      <c r="K358" s="18">
        <v>0</v>
      </c>
      <c r="L358" s="13">
        <f>SUM(F358:K358)</f>
        <v>49289.32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41530.449999999997</v>
      </c>
      <c r="I362" s="47">
        <f t="shared" si="22"/>
        <v>7758.87</v>
      </c>
      <c r="J362" s="47">
        <f t="shared" si="22"/>
        <v>0</v>
      </c>
      <c r="K362" s="47">
        <f t="shared" si="22"/>
        <v>0</v>
      </c>
      <c r="L362" s="47">
        <f t="shared" si="22"/>
        <v>49289.32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2493.5500000000002</v>
      </c>
      <c r="G367" s="18">
        <v>0</v>
      </c>
      <c r="H367" s="18">
        <v>0</v>
      </c>
      <c r="I367" s="56">
        <f>SUM(F367:H367)</f>
        <v>2493.5500000000002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v>5265.32</v>
      </c>
      <c r="G368" s="18">
        <v>0</v>
      </c>
      <c r="H368" s="18">
        <v>0</v>
      </c>
      <c r="I368" s="56">
        <f>SUM(F368:H368)</f>
        <v>5265.32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7758.87</v>
      </c>
      <c r="G369" s="47">
        <f>SUM(G367:G368)</f>
        <v>0</v>
      </c>
      <c r="H369" s="47">
        <f>SUM(H367:H368)</f>
        <v>0</v>
      </c>
      <c r="I369" s="47">
        <f>SUM(I367:I368)</f>
        <v>7758.87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100000</v>
      </c>
      <c r="H392" s="18">
        <f>J96</f>
        <v>12.600000000000001</v>
      </c>
      <c r="I392" s="18">
        <v>0</v>
      </c>
      <c r="J392" s="24" t="s">
        <v>289</v>
      </c>
      <c r="K392" s="24" t="s">
        <v>289</v>
      </c>
      <c r="L392" s="56">
        <f t="shared" si="25"/>
        <v>100012.6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100000</v>
      </c>
      <c r="H393" s="138">
        <f>SUM(H387:H392)</f>
        <v>12.600000000000001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100012.6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12.600000000000001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100012.6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158592.26</v>
      </c>
      <c r="G440" s="18">
        <v>0</v>
      </c>
      <c r="H440" s="18">
        <v>0</v>
      </c>
      <c r="I440" s="56">
        <f t="shared" si="33"/>
        <v>158592.26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158592.26</v>
      </c>
      <c r="G446" s="13">
        <f>SUM(G439:G445)</f>
        <v>0</v>
      </c>
      <c r="H446" s="13">
        <f>SUM(H439:H445)</f>
        <v>0</v>
      </c>
      <c r="I446" s="13">
        <f>SUM(I439:I445)</f>
        <v>158592.26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158592.26</v>
      </c>
      <c r="G459" s="18">
        <v>0</v>
      </c>
      <c r="H459" s="18">
        <v>0</v>
      </c>
      <c r="I459" s="56">
        <f t="shared" si="34"/>
        <v>158592.26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158592.26</v>
      </c>
      <c r="G460" s="82">
        <f>SUM(G454:G459)</f>
        <v>0</v>
      </c>
      <c r="H460" s="82">
        <f>SUM(H454:H459)</f>
        <v>0</v>
      </c>
      <c r="I460" s="82">
        <f>SUM(I454:I459)</f>
        <v>158592.26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158592.26</v>
      </c>
      <c r="G461" s="42">
        <f>G452+G460</f>
        <v>0</v>
      </c>
      <c r="H461" s="42">
        <f>H452+H460</f>
        <v>0</v>
      </c>
      <c r="I461" s="42">
        <f>I452+I460</f>
        <v>158592.26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904</v>
      </c>
      <c r="B465" s="104">
        <v>19</v>
      </c>
      <c r="C465" s="110">
        <v>1</v>
      </c>
      <c r="D465" s="2" t="s">
        <v>433</v>
      </c>
      <c r="E465" s="110"/>
      <c r="F465" s="18">
        <v>213933.37</v>
      </c>
      <c r="G465" s="18">
        <v>5790.93</v>
      </c>
      <c r="H465" s="18"/>
      <c r="I465" s="18"/>
      <c r="J465" s="18">
        <v>58579.66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F193</f>
        <v>5077082.47</v>
      </c>
      <c r="G468" s="18">
        <f t="shared" ref="G468:J468" si="35">G193</f>
        <v>44406.879999999997</v>
      </c>
      <c r="H468" s="18">
        <f t="shared" si="35"/>
        <v>58180.33</v>
      </c>
      <c r="I468" s="18">
        <f t="shared" si="35"/>
        <v>0</v>
      </c>
      <c r="J468" s="18">
        <f t="shared" si="35"/>
        <v>100012.6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5077082.47</v>
      </c>
      <c r="G470" s="53">
        <f>SUM(G468:G469)</f>
        <v>44406.879999999997</v>
      </c>
      <c r="H470" s="53">
        <f>SUM(H468:H469)</f>
        <v>58180.33</v>
      </c>
      <c r="I470" s="53">
        <f>SUM(I468:I469)</f>
        <v>0</v>
      </c>
      <c r="J470" s="53">
        <f>SUM(J468:J469)</f>
        <v>100012.6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L271</f>
        <v>5235292.57</v>
      </c>
      <c r="G472" s="18">
        <f>L362</f>
        <v>49289.32</v>
      </c>
      <c r="H472" s="18">
        <f>L352</f>
        <v>58180.33</v>
      </c>
      <c r="I472" s="18">
        <v>0</v>
      </c>
      <c r="J472" s="18">
        <f>L434</f>
        <v>0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5235292.57</v>
      </c>
      <c r="G474" s="53">
        <f>SUM(G472:G473)</f>
        <v>49289.32</v>
      </c>
      <c r="H474" s="53">
        <f>SUM(H472:H473)</f>
        <v>58180.33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903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55723.269999999553</v>
      </c>
      <c r="G476" s="53">
        <f>(G465+G470)- G474</f>
        <v>908.48999999999796</v>
      </c>
      <c r="H476" s="53">
        <f>(H465+H470)- H474</f>
        <v>0</v>
      </c>
      <c r="I476" s="53">
        <f>(I465+I470)- I474</f>
        <v>0</v>
      </c>
      <c r="J476" s="53">
        <f>(J465+J470)- J474</f>
        <v>158592.26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905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0</v>
      </c>
      <c r="G490" s="152">
        <v>1</v>
      </c>
      <c r="H490" s="152">
        <v>2</v>
      </c>
      <c r="I490" s="152">
        <v>3</v>
      </c>
      <c r="J490" s="152">
        <v>4</v>
      </c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911</v>
      </c>
      <c r="G491" s="153" t="s">
        <v>911</v>
      </c>
      <c r="H491" s="153" t="s">
        <v>911</v>
      </c>
      <c r="I491" s="153" t="s">
        <v>911</v>
      </c>
      <c r="J491" s="153" t="s">
        <v>911</v>
      </c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911</v>
      </c>
      <c r="G492" s="153" t="s">
        <v>911</v>
      </c>
      <c r="H492" s="153" t="s">
        <v>911</v>
      </c>
      <c r="I492" s="153" t="s">
        <v>911</v>
      </c>
      <c r="J492" s="153" t="s">
        <v>911</v>
      </c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0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6"/>
        <v>0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v>0</v>
      </c>
      <c r="G498" s="202">
        <v>0</v>
      </c>
      <c r="H498" s="202">
        <v>0</v>
      </c>
      <c r="I498" s="202">
        <v>0</v>
      </c>
      <c r="J498" s="202">
        <v>0</v>
      </c>
      <c r="K498" s="203">
        <f t="shared" si="36"/>
        <v>0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0</v>
      </c>
      <c r="G501" s="202">
        <v>0</v>
      </c>
      <c r="H501" s="202">
        <v>0</v>
      </c>
      <c r="I501" s="202">
        <v>0</v>
      </c>
      <c r="J501" s="202">
        <v>0</v>
      </c>
      <c r="K501" s="203">
        <f t="shared" si="36"/>
        <v>0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6"/>
        <v>0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333883.27</v>
      </c>
      <c r="G521" s="18">
        <v>110657.8</v>
      </c>
      <c r="H521" s="18">
        <v>169970.78</v>
      </c>
      <c r="I521" s="18">
        <v>1709.1000000000001</v>
      </c>
      <c r="J521" s="18">
        <v>1042.33</v>
      </c>
      <c r="K521" s="18">
        <v>0</v>
      </c>
      <c r="L521" s="87">
        <f>SUM(F521:K521)</f>
        <v>617263.27999999991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0</v>
      </c>
      <c r="G523" s="18">
        <v>0</v>
      </c>
      <c r="H523" s="18">
        <v>269555.3</v>
      </c>
      <c r="I523" s="18">
        <v>0</v>
      </c>
      <c r="J523" s="18">
        <v>0</v>
      </c>
      <c r="K523" s="18">
        <v>0</v>
      </c>
      <c r="L523" s="87">
        <f>SUM(F523:K523)</f>
        <v>269555.3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333883.27</v>
      </c>
      <c r="G524" s="107">
        <f t="shared" ref="G524:L524" si="37">SUM(G521:G523)</f>
        <v>110657.8</v>
      </c>
      <c r="H524" s="107">
        <f t="shared" si="37"/>
        <v>439526.07999999996</v>
      </c>
      <c r="I524" s="107">
        <f t="shared" si="37"/>
        <v>1709.1000000000001</v>
      </c>
      <c r="J524" s="107">
        <f t="shared" si="37"/>
        <v>1042.33</v>
      </c>
      <c r="K524" s="107">
        <f t="shared" si="37"/>
        <v>0</v>
      </c>
      <c r="L524" s="88">
        <f t="shared" si="37"/>
        <v>886818.57999999984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67175</v>
      </c>
      <c r="G526" s="18">
        <v>37311.47</v>
      </c>
      <c r="H526" s="18">
        <v>45240.2</v>
      </c>
      <c r="I526" s="18">
        <v>633.08000000000004</v>
      </c>
      <c r="J526" s="18">
        <v>0</v>
      </c>
      <c r="K526" s="18">
        <v>0</v>
      </c>
      <c r="L526" s="87">
        <f>SUM(F526:K526)</f>
        <v>150359.74999999997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67175</v>
      </c>
      <c r="G529" s="88">
        <f t="shared" ref="G529:L529" si="38">SUM(G526:G528)</f>
        <v>37311.47</v>
      </c>
      <c r="H529" s="88">
        <f t="shared" si="38"/>
        <v>45240.2</v>
      </c>
      <c r="I529" s="88">
        <f t="shared" si="38"/>
        <v>633.08000000000004</v>
      </c>
      <c r="J529" s="88">
        <f t="shared" si="38"/>
        <v>0</v>
      </c>
      <c r="K529" s="88">
        <f t="shared" si="38"/>
        <v>0</v>
      </c>
      <c r="L529" s="88">
        <f t="shared" si="38"/>
        <v>150359.74999999997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27677.579587155582</v>
      </c>
      <c r="G531" s="18">
        <v>12912.15614372022</v>
      </c>
      <c r="H531" s="18">
        <v>0</v>
      </c>
      <c r="I531" s="18">
        <v>82.305000000000007</v>
      </c>
      <c r="J531" s="18">
        <v>0</v>
      </c>
      <c r="K531" s="18">
        <v>0</v>
      </c>
      <c r="L531" s="87">
        <f>SUM(F531:K531)</f>
        <v>40672.0407308758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27677.579587155582</v>
      </c>
      <c r="G534" s="88">
        <f t="shared" ref="G534:L534" si="39">SUM(G531:G533)</f>
        <v>12912.15614372022</v>
      </c>
      <c r="H534" s="88">
        <f t="shared" si="39"/>
        <v>0</v>
      </c>
      <c r="I534" s="88">
        <f t="shared" si="39"/>
        <v>82.305000000000007</v>
      </c>
      <c r="J534" s="88">
        <f t="shared" si="39"/>
        <v>0</v>
      </c>
      <c r="K534" s="88">
        <f t="shared" si="39"/>
        <v>0</v>
      </c>
      <c r="L534" s="88">
        <f t="shared" si="39"/>
        <v>40672.0407308758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0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0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7596</v>
      </c>
      <c r="I541" s="18">
        <v>0</v>
      </c>
      <c r="J541" s="18">
        <v>0</v>
      </c>
      <c r="K541" s="18">
        <v>0</v>
      </c>
      <c r="L541" s="87">
        <f>SUM(F541:K541)</f>
        <v>7596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7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65039.58</v>
      </c>
      <c r="I543" s="18">
        <v>0</v>
      </c>
      <c r="J543" s="18">
        <v>0</v>
      </c>
      <c r="K543" s="18">
        <v>0</v>
      </c>
      <c r="L543" s="87">
        <f>SUM(F543:K543)</f>
        <v>65039.58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72635.58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72635.58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428735.84958715562</v>
      </c>
      <c r="G545" s="88">
        <f t="shared" ref="G545:L545" si="42">G524+G529+G534+G539+G544</f>
        <v>160881.42614372025</v>
      </c>
      <c r="H545" s="88">
        <f t="shared" si="42"/>
        <v>557401.86</v>
      </c>
      <c r="I545" s="88">
        <f t="shared" si="42"/>
        <v>2424.4850000000001</v>
      </c>
      <c r="J545" s="88">
        <f t="shared" si="42"/>
        <v>1042.33</v>
      </c>
      <c r="K545" s="88">
        <f t="shared" si="42"/>
        <v>0</v>
      </c>
      <c r="L545" s="88">
        <f t="shared" si="42"/>
        <v>1150485.9507308756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617263.27999999991</v>
      </c>
      <c r="G549" s="86">
        <f>L526</f>
        <v>150359.74999999997</v>
      </c>
      <c r="H549" s="86">
        <f>L531</f>
        <v>40672.0407308758</v>
      </c>
      <c r="I549" s="86">
        <f>L536</f>
        <v>0</v>
      </c>
      <c r="J549" s="86">
        <f>L541</f>
        <v>7596</v>
      </c>
      <c r="K549" s="86">
        <f>SUM(F549:J549)</f>
        <v>815891.07073087571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0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0</v>
      </c>
      <c r="K550" s="86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269555.3</v>
      </c>
      <c r="G551" s="86">
        <f>L528</f>
        <v>0</v>
      </c>
      <c r="H551" s="86">
        <f>L533</f>
        <v>0</v>
      </c>
      <c r="I551" s="86">
        <f>L538</f>
        <v>0</v>
      </c>
      <c r="J551" s="86">
        <f>L543</f>
        <v>65039.58</v>
      </c>
      <c r="K551" s="86">
        <f>SUM(F551:J551)</f>
        <v>334594.88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3">SUM(F549:F551)</f>
        <v>886818.57999999984</v>
      </c>
      <c r="G552" s="88">
        <f t="shared" si="43"/>
        <v>150359.74999999997</v>
      </c>
      <c r="H552" s="88">
        <f t="shared" si="43"/>
        <v>40672.0407308758</v>
      </c>
      <c r="I552" s="88">
        <f t="shared" si="43"/>
        <v>0</v>
      </c>
      <c r="J552" s="88">
        <f t="shared" si="43"/>
        <v>72635.58</v>
      </c>
      <c r="K552" s="88">
        <f t="shared" si="43"/>
        <v>1150485.9507308756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4">SUM(F557:F559)</f>
        <v>0</v>
      </c>
      <c r="G560" s="107">
        <f t="shared" si="44"/>
        <v>0</v>
      </c>
      <c r="H560" s="107">
        <f t="shared" si="44"/>
        <v>0</v>
      </c>
      <c r="I560" s="107">
        <f t="shared" si="44"/>
        <v>0</v>
      </c>
      <c r="J560" s="107">
        <f t="shared" si="44"/>
        <v>0</v>
      </c>
      <c r="K560" s="107">
        <f t="shared" si="44"/>
        <v>0</v>
      </c>
      <c r="L560" s="88">
        <f t="shared" si="44"/>
        <v>0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5">SUM(F562:F564)</f>
        <v>0</v>
      </c>
      <c r="G565" s="88">
        <f t="shared" si="45"/>
        <v>0</v>
      </c>
      <c r="H565" s="88">
        <f t="shared" si="45"/>
        <v>0</v>
      </c>
      <c r="I565" s="88">
        <f t="shared" si="45"/>
        <v>0</v>
      </c>
      <c r="J565" s="88">
        <f t="shared" si="45"/>
        <v>0</v>
      </c>
      <c r="K565" s="88">
        <f t="shared" si="45"/>
        <v>0</v>
      </c>
      <c r="L565" s="88">
        <f t="shared" si="45"/>
        <v>0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0</v>
      </c>
      <c r="I570" s="191">
        <f t="shared" si="46"/>
        <v>0</v>
      </c>
      <c r="J570" s="191">
        <f t="shared" si="46"/>
        <v>0</v>
      </c>
      <c r="K570" s="191">
        <f t="shared" si="46"/>
        <v>0</v>
      </c>
      <c r="L570" s="191">
        <f t="shared" si="46"/>
        <v>0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0</v>
      </c>
      <c r="G571" s="88">
        <f t="shared" ref="G571:L571" si="47">G560+G565+G570</f>
        <v>0</v>
      </c>
      <c r="H571" s="88">
        <f t="shared" si="47"/>
        <v>0</v>
      </c>
      <c r="I571" s="88">
        <f t="shared" si="47"/>
        <v>0</v>
      </c>
      <c r="J571" s="88">
        <f t="shared" si="47"/>
        <v>0</v>
      </c>
      <c r="K571" s="88">
        <f t="shared" si="47"/>
        <v>0</v>
      </c>
      <c r="L571" s="88">
        <f t="shared" si="47"/>
        <v>0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416350.9</v>
      </c>
      <c r="H575" s="18">
        <v>881043.85</v>
      </c>
      <c r="I575" s="86">
        <f>SUM(F575:H575)</f>
        <v>1297394.75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0</v>
      </c>
      <c r="H579" s="18">
        <v>0</v>
      </c>
      <c r="I579" s="86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f>12379.43+393.75</f>
        <v>12773.18</v>
      </c>
      <c r="G582" s="18">
        <v>0</v>
      </c>
      <c r="H582" s="18">
        <v>269555.20000000001</v>
      </c>
      <c r="I582" s="86">
        <f t="shared" si="48"/>
        <v>282328.38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/>
      <c r="G587" s="18"/>
      <c r="H587" s="18">
        <v>0</v>
      </c>
      <c r="I587" s="86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105335.11727272728</v>
      </c>
      <c r="I591" s="18">
        <v>25020.098181818179</v>
      </c>
      <c r="J591" s="18">
        <v>52125.204545454551</v>
      </c>
      <c r="K591" s="103">
        <f t="shared" ref="K591:K597" si="49">SUM(H591:J591)</f>
        <v>182480.42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7596</v>
      </c>
      <c r="I592" s="18">
        <v>0</v>
      </c>
      <c r="J592" s="18">
        <v>65039.58</v>
      </c>
      <c r="K592" s="103">
        <f t="shared" si="49"/>
        <v>72635.58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0</v>
      </c>
      <c r="K593" s="103">
        <f t="shared" si="49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0</v>
      </c>
      <c r="J594" s="18">
        <v>0</v>
      </c>
      <c r="K594" s="103">
        <f t="shared" si="49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1000.3</v>
      </c>
      <c r="I595" s="18">
        <v>0</v>
      </c>
      <c r="J595" s="18">
        <v>0</v>
      </c>
      <c r="K595" s="103">
        <f t="shared" si="49"/>
        <v>1000.3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113931.41727272728</v>
      </c>
      <c r="I598" s="107">
        <f>SUM(I591:I597)</f>
        <v>25020.098181818179</v>
      </c>
      <c r="J598" s="107">
        <f>SUM(J591:J597)</f>
        <v>117164.78454545455</v>
      </c>
      <c r="K598" s="107">
        <f>SUM(K591:K597)</f>
        <v>256116.3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f>J211+J352</f>
        <v>61532.09</v>
      </c>
      <c r="I604" s="18">
        <v>0</v>
      </c>
      <c r="J604" s="18">
        <v>0</v>
      </c>
      <c r="K604" s="103">
        <f>SUM(H604:J604)</f>
        <v>61532.09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61532.09</v>
      </c>
      <c r="I605" s="107">
        <f>SUM(I602:I604)</f>
        <v>0</v>
      </c>
      <c r="J605" s="107">
        <f>SUM(J602:J604)</f>
        <v>0</v>
      </c>
      <c r="K605" s="107">
        <f>SUM(K602:K604)</f>
        <v>61532.09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3120</v>
      </c>
      <c r="G611" s="18">
        <f>238.68+336</f>
        <v>574.68000000000006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3694.6800000000003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7">
        <f>SUM(F613:K613)</f>
        <v>0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50">SUM(F611:F613)</f>
        <v>3120</v>
      </c>
      <c r="G614" s="107">
        <f t="shared" si="50"/>
        <v>574.68000000000006</v>
      </c>
      <c r="H614" s="107">
        <f t="shared" si="50"/>
        <v>0</v>
      </c>
      <c r="I614" s="107">
        <f t="shared" si="50"/>
        <v>0</v>
      </c>
      <c r="J614" s="107">
        <f t="shared" si="50"/>
        <v>0</v>
      </c>
      <c r="K614" s="107">
        <f t="shared" si="50"/>
        <v>0</v>
      </c>
      <c r="L614" s="88">
        <f t="shared" si="50"/>
        <v>3694.6800000000003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676689.21999999986</v>
      </c>
      <c r="H617" s="108">
        <f>SUM(F52)</f>
        <v>676689.22000000009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191877.52</v>
      </c>
      <c r="H618" s="108">
        <f>SUM(G52)</f>
        <v>191877.52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257158.75</v>
      </c>
      <c r="H619" s="108">
        <f>SUM(H52)</f>
        <v>257158.75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158592.26</v>
      </c>
      <c r="H621" s="108">
        <f>SUM(J52)</f>
        <v>158592.26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55723.26999999999</v>
      </c>
      <c r="H622" s="108">
        <f>F476</f>
        <v>55723.269999999553</v>
      </c>
      <c r="I622" s="120" t="s">
        <v>101</v>
      </c>
      <c r="J622" s="108">
        <f t="shared" ref="J622:J655" si="51">G622-H622</f>
        <v>4.3655745685100555E-10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908.49000000000069</v>
      </c>
      <c r="H623" s="108">
        <f>G476</f>
        <v>908.48999999999796</v>
      </c>
      <c r="I623" s="120" t="s">
        <v>102</v>
      </c>
      <c r="J623" s="108">
        <f t="shared" si="51"/>
        <v>2.7284841053187847E-12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158592.26</v>
      </c>
      <c r="H626" s="108">
        <f>J476</f>
        <v>158592.26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5077082.47</v>
      </c>
      <c r="H627" s="103">
        <f>SUM(F468)</f>
        <v>5077082.47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44406.879999999997</v>
      </c>
      <c r="H628" s="103">
        <f>SUM(G468)</f>
        <v>44406.879999999997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58180.33</v>
      </c>
      <c r="H629" s="103">
        <f>SUM(H468)</f>
        <v>58180.33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100012.6</v>
      </c>
      <c r="H631" s="103">
        <f>SUM(J468)</f>
        <v>100012.6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5235292.57</v>
      </c>
      <c r="H632" s="103">
        <f>SUM(F472)</f>
        <v>5235292.57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58180.33</v>
      </c>
      <c r="H633" s="103">
        <f>SUM(H472)</f>
        <v>58180.33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7758.87</v>
      </c>
      <c r="H634" s="103">
        <f>I369</f>
        <v>7758.87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49289.32</v>
      </c>
      <c r="H635" s="103">
        <f>SUM(G472)</f>
        <v>49289.32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100012.6</v>
      </c>
      <c r="H637" s="162">
        <f>SUM(J468)</f>
        <v>100012.6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0</v>
      </c>
      <c r="H638" s="162">
        <f>SUM(J472)</f>
        <v>0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158592.26</v>
      </c>
      <c r="H639" s="103">
        <f>SUM(F461)</f>
        <v>158592.26</v>
      </c>
      <c r="I639" s="139" t="s">
        <v>857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158592.26</v>
      </c>
      <c r="H642" s="103">
        <f>SUM(I461)</f>
        <v>158592.26</v>
      </c>
      <c r="I642" s="139" t="s">
        <v>860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12.600000000000001</v>
      </c>
      <c r="H644" s="103">
        <f>H408</f>
        <v>12.600000000000001</v>
      </c>
      <c r="I644" s="139" t="s">
        <v>481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100000</v>
      </c>
      <c r="H645" s="103">
        <f>G408</f>
        <v>100000</v>
      </c>
      <c r="I645" s="139" t="s">
        <v>482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100012.6</v>
      </c>
      <c r="H646" s="103">
        <f>L408</f>
        <v>100012.6</v>
      </c>
      <c r="I646" s="139" t="s">
        <v>478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256116.3</v>
      </c>
      <c r="H647" s="103">
        <f>L208+L226+L244</f>
        <v>256116.30000000002</v>
      </c>
      <c r="I647" s="139" t="s">
        <v>397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61532.09</v>
      </c>
      <c r="H648" s="103">
        <f>(J257+J338)-(J255+J336)</f>
        <v>61532.09</v>
      </c>
      <c r="I648" s="139" t="s">
        <v>703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113931.41727272728</v>
      </c>
      <c r="H649" s="103">
        <f>H598</f>
        <v>113931.41727272728</v>
      </c>
      <c r="I649" s="139" t="s">
        <v>389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25020.098181818179</v>
      </c>
      <c r="H650" s="103">
        <f>I598</f>
        <v>25020.098181818179</v>
      </c>
      <c r="I650" s="139" t="s">
        <v>390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117164.78454545455</v>
      </c>
      <c r="H651" s="103">
        <f>J598</f>
        <v>117164.78454545455</v>
      </c>
      <c r="I651" s="139" t="s">
        <v>391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10000</v>
      </c>
      <c r="H652" s="103">
        <f>K263+K345</f>
        <v>10000</v>
      </c>
      <c r="I652" s="139" t="s">
        <v>398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100000</v>
      </c>
      <c r="H655" s="103">
        <f>K266+K347</f>
        <v>100000</v>
      </c>
      <c r="I655" s="139" t="s">
        <v>401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3523627.3872727272</v>
      </c>
      <c r="G660" s="19">
        <f>(L229+L309+L359)</f>
        <v>441370.99818181823</v>
      </c>
      <c r="H660" s="19">
        <f>(L247+L328+L360)</f>
        <v>1267763.8345454545</v>
      </c>
      <c r="I660" s="19">
        <f>SUM(F660:H660)</f>
        <v>5232762.22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19791.179999999997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19791.179999999997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113931.41727272728</v>
      </c>
      <c r="G662" s="19">
        <f>(L226+L306)-(J226+J306)</f>
        <v>25020.098181818179</v>
      </c>
      <c r="H662" s="19">
        <f>(L244+L325)-(J244+J325)</f>
        <v>117164.78454545455</v>
      </c>
      <c r="I662" s="19">
        <f>SUM(F662:H662)</f>
        <v>256116.30000000002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77999.949999999983</v>
      </c>
      <c r="G663" s="197">
        <f>SUM(G575:G587)+SUM(I602:I604)+L612</f>
        <v>416350.9</v>
      </c>
      <c r="H663" s="197">
        <f>SUM(H575:H587)+SUM(J602:J604)+L613</f>
        <v>1150599.05</v>
      </c>
      <c r="I663" s="19">
        <f>SUM(F663:H663)</f>
        <v>1644949.9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3311904.84</v>
      </c>
      <c r="G664" s="19">
        <f>G660-SUM(G661:G663)</f>
        <v>0</v>
      </c>
      <c r="H664" s="19">
        <f>H660-SUM(H661:H663)</f>
        <v>0</v>
      </c>
      <c r="I664" s="19">
        <f>I660-SUM(I661:I663)</f>
        <v>3311904.84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156.79</v>
      </c>
      <c r="G665" s="246"/>
      <c r="H665" s="246"/>
      <c r="I665" s="19">
        <f>SUM(F665:H665)</f>
        <v>156.79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21123.19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21123.19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21123.19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21123.19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Rollinsford</v>
      </c>
      <c r="C1" s="236" t="s">
        <v>839</v>
      </c>
    </row>
    <row r="2" spans="1:3" x14ac:dyDescent="0.2">
      <c r="A2" s="231"/>
      <c r="B2" s="230"/>
    </row>
    <row r="3" spans="1:3" x14ac:dyDescent="0.2">
      <c r="A3" s="275" t="s">
        <v>784</v>
      </c>
      <c r="B3" s="275"/>
      <c r="C3" s="275"/>
    </row>
    <row r="4" spans="1:3" x14ac:dyDescent="0.2">
      <c r="A4" s="234"/>
      <c r="B4" s="235" t="str">
        <f>'DOE25'!H1</f>
        <v>DOE 25  2014-2015</v>
      </c>
      <c r="C4" s="234"/>
    </row>
    <row r="5" spans="1:3" x14ac:dyDescent="0.2">
      <c r="A5" s="231"/>
      <c r="B5" s="230"/>
    </row>
    <row r="6" spans="1:3" x14ac:dyDescent="0.2">
      <c r="A6" s="225"/>
      <c r="B6" s="274" t="s">
        <v>783</v>
      </c>
      <c r="C6" s="274"/>
    </row>
    <row r="7" spans="1:3" x14ac:dyDescent="0.2">
      <c r="A7" s="237" t="s">
        <v>786</v>
      </c>
      <c r="B7" s="272" t="s">
        <v>782</v>
      </c>
      <c r="C7" s="273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889829.2</v>
      </c>
      <c r="C9" s="227">
        <f>'DOE25'!G197+'DOE25'!G215+'DOE25'!G233+'DOE25'!G276+'DOE25'!G295+'DOE25'!G314</f>
        <v>390668.65</v>
      </c>
    </row>
    <row r="10" spans="1:3" x14ac:dyDescent="0.2">
      <c r="A10" t="s">
        <v>779</v>
      </c>
      <c r="B10" s="238">
        <f>759165.66+11423.76</f>
        <v>770589.42</v>
      </c>
      <c r="C10" s="238">
        <f>188264.18+4441.84+2676.35+1257.68-370.08+54841.55+88660.36+229.5-352.92+27409.67+13.99+10473.6</f>
        <v>377545.72</v>
      </c>
    </row>
    <row r="11" spans="1:3" x14ac:dyDescent="0.2">
      <c r="A11" t="s">
        <v>780</v>
      </c>
      <c r="B11" s="238">
        <f>40897.4+20180.2</f>
        <v>61077.600000000006</v>
      </c>
      <c r="C11" s="238">
        <f>3128.63+1543.81+2166.68</f>
        <v>6839.1200000000008</v>
      </c>
    </row>
    <row r="12" spans="1:3" x14ac:dyDescent="0.2">
      <c r="A12" t="s">
        <v>781</v>
      </c>
      <c r="B12" s="238">
        <f>41133.11+17029.07</f>
        <v>58162.18</v>
      </c>
      <c r="C12" s="238">
        <f>3146.93+3136.88</f>
        <v>6283.8099999999995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889829.20000000007</v>
      </c>
      <c r="C13" s="229">
        <f>SUM(C10:C12)</f>
        <v>390668.64999999997</v>
      </c>
    </row>
    <row r="14" spans="1:3" x14ac:dyDescent="0.2">
      <c r="B14" s="228"/>
      <c r="C14" s="228"/>
    </row>
    <row r="15" spans="1:3" x14ac:dyDescent="0.2">
      <c r="B15" s="274" t="s">
        <v>783</v>
      </c>
      <c r="C15" s="274"/>
    </row>
    <row r="16" spans="1:3" x14ac:dyDescent="0.2">
      <c r="A16" s="237" t="s">
        <v>787</v>
      </c>
      <c r="B16" s="272" t="s">
        <v>707</v>
      </c>
      <c r="C16" s="273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333883.27</v>
      </c>
      <c r="C18" s="227">
        <f>'DOE25'!G198+'DOE25'!G216+'DOE25'!G234+'DOE25'!G277+'DOE25'!G296+'DOE25'!G315</f>
        <v>110657.8</v>
      </c>
    </row>
    <row r="19" spans="1:3" x14ac:dyDescent="0.2">
      <c r="A19" t="s">
        <v>779</v>
      </c>
      <c r="B19" s="238">
        <f>138350</f>
        <v>138350</v>
      </c>
      <c r="C19" s="238">
        <f>44598.92+1008.12+467.2+204.75+556.03+10061.31+19654.35</f>
        <v>76550.679999999993</v>
      </c>
    </row>
    <row r="20" spans="1:3" x14ac:dyDescent="0.2">
      <c r="A20" t="s">
        <v>780</v>
      </c>
      <c r="B20" s="238">
        <f>20944+157560.2+17029.07</f>
        <v>195533.27000000002</v>
      </c>
      <c r="C20" s="238">
        <f>1602.24+12053.39+1302.68+609.89+16704.99+1833.93</f>
        <v>34107.120000000003</v>
      </c>
    </row>
    <row r="21" spans="1:3" x14ac:dyDescent="0.2">
      <c r="A21" t="s">
        <v>781</v>
      </c>
      <c r="B21" s="238">
        <v>0</v>
      </c>
      <c r="C21" s="238">
        <v>0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333883.27</v>
      </c>
      <c r="C22" s="229">
        <f>SUM(C19:C21)</f>
        <v>110657.79999999999</v>
      </c>
    </row>
    <row r="23" spans="1:3" x14ac:dyDescent="0.2">
      <c r="B23" s="228"/>
      <c r="C23" s="228"/>
    </row>
    <row r="24" spans="1:3" x14ac:dyDescent="0.2">
      <c r="B24" s="274" t="s">
        <v>783</v>
      </c>
      <c r="C24" s="274"/>
    </row>
    <row r="25" spans="1:3" x14ac:dyDescent="0.2">
      <c r="A25" s="237" t="s">
        <v>788</v>
      </c>
      <c r="B25" s="272" t="s">
        <v>708</v>
      </c>
      <c r="C25" s="273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779</v>
      </c>
      <c r="B28" s="238">
        <v>0</v>
      </c>
      <c r="C28" s="238">
        <v>0</v>
      </c>
    </row>
    <row r="29" spans="1:3" x14ac:dyDescent="0.2">
      <c r="A29" t="s">
        <v>780</v>
      </c>
      <c r="B29" s="238">
        <v>0</v>
      </c>
      <c r="C29" s="238">
        <v>0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7" t="s">
        <v>789</v>
      </c>
      <c r="B34" s="272" t="s">
        <v>709</v>
      </c>
      <c r="C34" s="273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4160</v>
      </c>
      <c r="C36" s="233">
        <f>'DOE25'!G200+'DOE25'!G218+'DOE25'!G236+'DOE25'!G279+'DOE25'!G298+'DOE25'!G317</f>
        <v>801.5</v>
      </c>
    </row>
    <row r="37" spans="1:3" x14ac:dyDescent="0.2">
      <c r="A37" t="s">
        <v>779</v>
      </c>
      <c r="B37" s="238">
        <f>1040+3120</f>
        <v>4160</v>
      </c>
      <c r="C37" s="238">
        <f>79.56+147.26+574.68</f>
        <v>801.5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4160</v>
      </c>
      <c r="C40" s="229">
        <f>SUM(C37:C39)</f>
        <v>801.5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79"/>
    </row>
    <row r="2" spans="1:9" x14ac:dyDescent="0.2">
      <c r="A2" s="33" t="s">
        <v>717</v>
      </c>
      <c r="B2" s="263" t="str">
        <f>'DOE25'!A2</f>
        <v>Rollinsford</v>
      </c>
      <c r="C2" s="179"/>
      <c r="D2" s="179" t="s">
        <v>792</v>
      </c>
      <c r="E2" s="179" t="s">
        <v>794</v>
      </c>
      <c r="F2" s="276" t="s">
        <v>821</v>
      </c>
      <c r="G2" s="277"/>
      <c r="H2" s="278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3546648.2700000005</v>
      </c>
      <c r="D5" s="20">
        <f>SUM('DOE25'!L197:L200)+SUM('DOE25'!L215:L218)+SUM('DOE25'!L233:L236)-F5-G5</f>
        <v>3518798.7000000007</v>
      </c>
      <c r="E5" s="241"/>
      <c r="F5" s="253">
        <f>SUM('DOE25'!J197:J200)+SUM('DOE25'!J215:J218)+SUM('DOE25'!J233:J236)</f>
        <v>27849.57</v>
      </c>
      <c r="G5" s="53">
        <f>SUM('DOE25'!K197:K200)+SUM('DOE25'!K215:K218)+SUM('DOE25'!K233:K236)</f>
        <v>0</v>
      </c>
      <c r="H5" s="257"/>
    </row>
    <row r="6" spans="1:9" x14ac:dyDescent="0.2">
      <c r="A6" s="32">
        <v>2100</v>
      </c>
      <c r="B6" t="s">
        <v>801</v>
      </c>
      <c r="C6" s="243">
        <f t="shared" si="0"/>
        <v>339100.02</v>
      </c>
      <c r="D6" s="20">
        <f>'DOE25'!L202+'DOE25'!L220+'DOE25'!L238-F6-G6</f>
        <v>339100.02</v>
      </c>
      <c r="E6" s="241"/>
      <c r="F6" s="253">
        <f>'DOE25'!J202+'DOE25'!J220+'DOE25'!J238</f>
        <v>0</v>
      </c>
      <c r="G6" s="53">
        <f>'DOE25'!K202+'DOE25'!K220+'DOE25'!K238</f>
        <v>0</v>
      </c>
      <c r="H6" s="257"/>
    </row>
    <row r="7" spans="1:9" x14ac:dyDescent="0.2">
      <c r="A7" s="32">
        <v>2200</v>
      </c>
      <c r="B7" t="s">
        <v>834</v>
      </c>
      <c r="C7" s="243">
        <f t="shared" si="0"/>
        <v>56839.19</v>
      </c>
      <c r="D7" s="20">
        <f>'DOE25'!L203+'DOE25'!L221+'DOE25'!L239-F7-G7</f>
        <v>52795.62</v>
      </c>
      <c r="E7" s="241"/>
      <c r="F7" s="253">
        <f>'DOE25'!J203+'DOE25'!J221+'DOE25'!J239</f>
        <v>2657.52</v>
      </c>
      <c r="G7" s="53">
        <f>'DOE25'!K203+'DOE25'!K221+'DOE25'!K239</f>
        <v>1386.05</v>
      </c>
      <c r="H7" s="257"/>
    </row>
    <row r="8" spans="1:9" x14ac:dyDescent="0.2">
      <c r="A8" s="32">
        <v>2300</v>
      </c>
      <c r="B8" t="s">
        <v>802</v>
      </c>
      <c r="C8" s="243">
        <f t="shared" si="0"/>
        <v>145056.99699227518</v>
      </c>
      <c r="D8" s="241"/>
      <c r="E8" s="20">
        <f>'DOE25'!L204+'DOE25'!L222+'DOE25'!L240-F8-G8-D9-D11</f>
        <v>142047.69699227519</v>
      </c>
      <c r="F8" s="253">
        <f>'DOE25'!J204+'DOE25'!J222+'DOE25'!J240</f>
        <v>0</v>
      </c>
      <c r="G8" s="53">
        <f>'DOE25'!K204+'DOE25'!K222+'DOE25'!K240</f>
        <v>3009.3</v>
      </c>
      <c r="H8" s="257"/>
    </row>
    <row r="9" spans="1:9" x14ac:dyDescent="0.2">
      <c r="A9" s="32">
        <v>2310</v>
      </c>
      <c r="B9" t="s">
        <v>818</v>
      </c>
      <c r="C9" s="243">
        <f t="shared" si="0"/>
        <v>71309.03</v>
      </c>
      <c r="D9" s="242">
        <f>3009.2+63355.39+4914.44+30</f>
        <v>71309.03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6250</v>
      </c>
      <c r="D10" s="241"/>
      <c r="E10" s="242">
        <v>6250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52884.383007724791</v>
      </c>
      <c r="D11" s="242">
        <v>52884.383007724791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175025.58000000002</v>
      </c>
      <c r="D12" s="20">
        <f>'DOE25'!L205+'DOE25'!L223+'DOE25'!L241-F12-G12</f>
        <v>175025.58000000002</v>
      </c>
      <c r="E12" s="241"/>
      <c r="F12" s="253">
        <f>'DOE25'!J205+'DOE25'!J223+'DOE25'!J241</f>
        <v>0</v>
      </c>
      <c r="G12" s="53">
        <f>'DOE25'!K205+'DOE25'!K223+'DOE25'!K241</f>
        <v>0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482312.8</v>
      </c>
      <c r="D14" s="20">
        <f>'DOE25'!L207+'DOE25'!L225+'DOE25'!L243-F14-G14</f>
        <v>451287.8</v>
      </c>
      <c r="E14" s="241"/>
      <c r="F14" s="253">
        <f>'DOE25'!J207+'DOE25'!J225+'DOE25'!J243</f>
        <v>31025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256116.30000000002</v>
      </c>
      <c r="D15" s="20">
        <f>'DOE25'!L208+'DOE25'!L226+'DOE25'!L244-F15-G15</f>
        <v>256116.30000000002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0</v>
      </c>
      <c r="D16" s="241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46795.77</v>
      </c>
      <c r="D29" s="20">
        <f>'DOE25'!L358+'DOE25'!L359+'DOE25'!L360-'DOE25'!I367-F29-G29</f>
        <v>46795.77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58180.33</v>
      </c>
      <c r="D31" s="20">
        <f>'DOE25'!L290+'DOE25'!L309+'DOE25'!L328+'DOE25'!L333+'DOE25'!L334+'DOE25'!L335-F31-G31</f>
        <v>57270.03</v>
      </c>
      <c r="E31" s="241"/>
      <c r="F31" s="253">
        <f>'DOE25'!J290+'DOE25'!J309+'DOE25'!J328+'DOE25'!J333+'DOE25'!J334+'DOE25'!J335</f>
        <v>0</v>
      </c>
      <c r="G31" s="53">
        <f>'DOE25'!K290+'DOE25'!K309+'DOE25'!K328+'DOE25'!K333+'DOE25'!K334+'DOE25'!K335</f>
        <v>910.3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5021383.2330077244</v>
      </c>
      <c r="E33" s="244">
        <f>SUM(E5:E31)</f>
        <v>148297.69699227519</v>
      </c>
      <c r="F33" s="244">
        <f>SUM(F5:F31)</f>
        <v>61532.09</v>
      </c>
      <c r="G33" s="244">
        <f>SUM(G5:G31)</f>
        <v>5305.6500000000005</v>
      </c>
      <c r="H33" s="244">
        <f>SUM(H5:H31)</f>
        <v>0</v>
      </c>
    </row>
    <row r="35" spans="2:8" ht="12" thickBot="1" x14ac:dyDescent="0.25">
      <c r="B35" s="251" t="s">
        <v>847</v>
      </c>
      <c r="D35" s="252">
        <f>E33</f>
        <v>148297.69699227519</v>
      </c>
      <c r="E35" s="247"/>
    </row>
    <row r="36" spans="2:8" ht="12" thickTop="1" x14ac:dyDescent="0.2">
      <c r="B36" t="s">
        <v>815</v>
      </c>
      <c r="D36" s="20">
        <f>D33</f>
        <v>5021383.2330077244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297908.01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4715.57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158592.26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372029.30999999994</v>
      </c>
      <c r="D11" s="94">
        <f>'DOE25'!G12</f>
        <v>5614.9500000000007</v>
      </c>
      <c r="E11" s="94">
        <f>'DOE25'!H12</f>
        <v>238613.22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1451.89</v>
      </c>
      <c r="E12" s="94">
        <f>'DOE25'!H13</f>
        <v>18545.53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2036.33</v>
      </c>
      <c r="D13" s="94">
        <f>'DOE25'!G14</f>
        <v>184810.68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676689.21999999986</v>
      </c>
      <c r="D18" s="41">
        <f>SUM(D8:D17)</f>
        <v>191877.52</v>
      </c>
      <c r="E18" s="41">
        <f>SUM(E8:E17)</f>
        <v>257158.75</v>
      </c>
      <c r="F18" s="41">
        <f>SUM(F8:F17)</f>
        <v>0</v>
      </c>
      <c r="G18" s="41">
        <f>SUM(G8:G17)</f>
        <v>158592.26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449333.37</v>
      </c>
      <c r="D21" s="94">
        <f>'DOE25'!G22</f>
        <v>188961.09</v>
      </c>
      <c r="E21" s="94">
        <f>'DOE25'!H22</f>
        <v>257158.75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171609.16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23.42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2007.94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620965.95000000007</v>
      </c>
      <c r="D31" s="41">
        <f>SUM(D21:D30)</f>
        <v>190969.03</v>
      </c>
      <c r="E31" s="41">
        <f>SUM(E21:E30)</f>
        <v>257158.75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38749.429999999993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158592.26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16973.84</v>
      </c>
      <c r="D48" s="94">
        <f>'DOE25'!G49</f>
        <v>908.49000000000069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55723.26999999999</v>
      </c>
      <c r="D50" s="41">
        <f>SUM(D34:D49)</f>
        <v>908.49000000000069</v>
      </c>
      <c r="E50" s="41">
        <f>SUM(E34:E49)</f>
        <v>0</v>
      </c>
      <c r="F50" s="41">
        <f>SUM(F34:F49)</f>
        <v>0</v>
      </c>
      <c r="G50" s="41">
        <f>SUM(G34:G49)</f>
        <v>158592.26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676689.22000000009</v>
      </c>
      <c r="D51" s="41">
        <f>D50+D31</f>
        <v>191877.52</v>
      </c>
      <c r="E51" s="41">
        <f>E50+E31</f>
        <v>257158.75</v>
      </c>
      <c r="F51" s="41">
        <f>F50+F31</f>
        <v>0</v>
      </c>
      <c r="G51" s="41">
        <f>G50+G31</f>
        <v>158592.26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3812589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0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90.19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12.600000000000001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19791.179999999997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2200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2290.19</v>
      </c>
      <c r="D62" s="129">
        <f>SUM(D57:D61)</f>
        <v>19791.179999999997</v>
      </c>
      <c r="E62" s="129">
        <f>SUM(E57:E61)</f>
        <v>0</v>
      </c>
      <c r="F62" s="129">
        <f>SUM(F57:F61)</f>
        <v>0</v>
      </c>
      <c r="G62" s="129">
        <f>SUM(G57:G61)</f>
        <v>12.600000000000001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3814879.19</v>
      </c>
      <c r="D63" s="22">
        <f>D56+D62</f>
        <v>19791.179999999997</v>
      </c>
      <c r="E63" s="22">
        <f>E56+E62</f>
        <v>0</v>
      </c>
      <c r="F63" s="22">
        <f>F56+F62</f>
        <v>0</v>
      </c>
      <c r="G63" s="22">
        <f>G56+G62</f>
        <v>12.600000000000001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628759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570484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1199243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24685.68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0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642.45000000000005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24685.68</v>
      </c>
      <c r="D78" s="129">
        <f>SUM(D72:D77)</f>
        <v>642.45000000000005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1223928.68</v>
      </c>
      <c r="D81" s="129">
        <f>SUM(D79:D80)+D78+D70</f>
        <v>642.45000000000005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38274.6</v>
      </c>
      <c r="D88" s="94">
        <f>SUM('DOE25'!G153:G161)</f>
        <v>13973.25</v>
      </c>
      <c r="E88" s="94">
        <f>SUM('DOE25'!H153:H161)</f>
        <v>58180.33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38274.6</v>
      </c>
      <c r="D91" s="130">
        <f>SUM(D85:D90)</f>
        <v>13973.25</v>
      </c>
      <c r="E91" s="130">
        <f>SUM(E85:E90)</f>
        <v>58180.33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10000</v>
      </c>
      <c r="E96" s="94">
        <f>'DOE25'!H179</f>
        <v>0</v>
      </c>
      <c r="F96" s="94">
        <f>'DOE25'!I179</f>
        <v>0</v>
      </c>
      <c r="G96" s="94">
        <f>'DOE25'!J179</f>
        <v>100000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0</v>
      </c>
      <c r="D103" s="85">
        <f>SUM(D93:D102)</f>
        <v>10000</v>
      </c>
      <c r="E103" s="85">
        <f>SUM(E93:E102)</f>
        <v>0</v>
      </c>
      <c r="F103" s="85">
        <f>SUM(F93:F102)</f>
        <v>0</v>
      </c>
      <c r="G103" s="85">
        <f>SUM(G93:G102)</f>
        <v>100000</v>
      </c>
    </row>
    <row r="104" spans="1:7" ht="12.75" thickTop="1" thickBot="1" x14ac:dyDescent="0.25">
      <c r="A104" s="33" t="s">
        <v>765</v>
      </c>
      <c r="C104" s="85">
        <f>C63+C81+C91+C103</f>
        <v>5077082.47</v>
      </c>
      <c r="D104" s="85">
        <f>D63+D81+D91+D103</f>
        <v>44406.879999999997</v>
      </c>
      <c r="E104" s="85">
        <f>E63+E81+E91+E103</f>
        <v>58180.33</v>
      </c>
      <c r="F104" s="85">
        <f>F63+F81+F91+F103</f>
        <v>0</v>
      </c>
      <c r="G104" s="85">
        <f>G63+G81+G103</f>
        <v>100012.6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2658576.08</v>
      </c>
      <c r="D109" s="24" t="s">
        <v>289</v>
      </c>
      <c r="E109" s="94">
        <f>('DOE25'!L276)+('DOE25'!L295)+('DOE25'!L314)</f>
        <v>21016.34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886805.36999999988</v>
      </c>
      <c r="D110" s="24" t="s">
        <v>289</v>
      </c>
      <c r="E110" s="94">
        <f>('DOE25'!L277)+('DOE25'!L296)+('DOE25'!L315)</f>
        <v>13.21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0</v>
      </c>
      <c r="D111" s="24" t="s">
        <v>289</v>
      </c>
      <c r="E111" s="94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1266.82</v>
      </c>
      <c r="D112" s="24" t="s">
        <v>289</v>
      </c>
      <c r="E112" s="94">
        <f>+('DOE25'!L279)+('DOE25'!L298)+('DOE25'!L317)</f>
        <v>5333.28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3546648.27</v>
      </c>
      <c r="D115" s="85">
        <f>SUM(D109:D114)</f>
        <v>0</v>
      </c>
      <c r="E115" s="85">
        <f>SUM(E109:E114)</f>
        <v>26362.829999999998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339100.02</v>
      </c>
      <c r="D118" s="24" t="s">
        <v>289</v>
      </c>
      <c r="E118" s="94">
        <f>+('DOE25'!L281)+('DOE25'!L300)+('DOE25'!L319)</f>
        <v>26114.61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56839.19</v>
      </c>
      <c r="D119" s="24" t="s">
        <v>289</v>
      </c>
      <c r="E119" s="94">
        <f>+('DOE25'!L282)+('DOE25'!L301)+('DOE25'!L320)</f>
        <v>538.25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269250.40999999997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175025.58000000002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5164.6400000000003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482312.8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256116.30000000002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0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49289.32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1578644.3</v>
      </c>
      <c r="D128" s="85">
        <f>SUM(D118:D127)</f>
        <v>49289.32</v>
      </c>
      <c r="E128" s="85">
        <f>SUM(E118:E127)</f>
        <v>31817.5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10000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100012.6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-12.600000000005821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110000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5235292.57</v>
      </c>
      <c r="D145" s="85">
        <f>(D115+D128+D144)</f>
        <v>49289.32</v>
      </c>
      <c r="E145" s="85">
        <f>(E115+E128+E144)</f>
        <v>58180.33</v>
      </c>
      <c r="F145" s="85">
        <f>(F115+F128+F144)</f>
        <v>0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0</v>
      </c>
      <c r="C151" s="151">
        <f>'DOE25'!G490</f>
        <v>1</v>
      </c>
      <c r="D151" s="151">
        <f>'DOE25'!H490</f>
        <v>2</v>
      </c>
      <c r="E151" s="151">
        <f>'DOE25'!I490</f>
        <v>3</v>
      </c>
      <c r="F151" s="151">
        <f>'DOE25'!J490</f>
        <v>4</v>
      </c>
      <c r="G151" s="24" t="s">
        <v>289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</v>
      </c>
      <c r="E152" s="150" t="str">
        <f>'DOE25'!I491</f>
        <v>0</v>
      </c>
      <c r="F152" s="150" t="str">
        <f>'DOE25'!J491</f>
        <v>0</v>
      </c>
      <c r="G152" s="24" t="s">
        <v>289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</v>
      </c>
      <c r="E153" s="150" t="str">
        <f>'DOE25'!I492</f>
        <v>0</v>
      </c>
      <c r="F153" s="150" t="str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38" sqref="H3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5" t="s">
        <v>717</v>
      </c>
      <c r="B2" s="184" t="str">
        <f>'DOE25'!A2</f>
        <v>Rollinsford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21123</v>
      </c>
    </row>
    <row r="5" spans="1:4" x14ac:dyDescent="0.2">
      <c r="B5" t="s">
        <v>704</v>
      </c>
      <c r="C5" s="177">
        <f>IF('DOE25'!G665+'DOE25'!G670=0,0,ROUND('DOE25'!G672,0))</f>
        <v>0</v>
      </c>
    </row>
    <row r="6" spans="1:4" x14ac:dyDescent="0.2">
      <c r="B6" t="s">
        <v>62</v>
      </c>
      <c r="C6" s="177">
        <f>IF('DOE25'!H665+'DOE25'!H670=0,0,ROUND('DOE25'!H672,0))</f>
        <v>0</v>
      </c>
    </row>
    <row r="7" spans="1:4" x14ac:dyDescent="0.2">
      <c r="B7" t="s">
        <v>705</v>
      </c>
      <c r="C7" s="177">
        <f>IF('DOE25'!I665+'DOE25'!I670=0,0,ROUND('DOE25'!I672,0))</f>
        <v>21123</v>
      </c>
    </row>
    <row r="9" spans="1:4" x14ac:dyDescent="0.2">
      <c r="A9" s="185" t="s">
        <v>94</v>
      </c>
      <c r="B9" s="186" t="s">
        <v>909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2679592</v>
      </c>
      <c r="D10" s="180">
        <f>ROUND((C10/$C$28)*100,1)</f>
        <v>51.4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886819</v>
      </c>
      <c r="D11" s="180">
        <f>ROUND((C11/$C$28)*100,1)</f>
        <v>17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0</v>
      </c>
      <c r="D12" s="180">
        <f>ROUND((C12/$C$28)*100,1)</f>
        <v>0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6600</v>
      </c>
      <c r="D13" s="180">
        <f>ROUND((C13/$C$28)*100,1)</f>
        <v>0.1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365215</v>
      </c>
      <c r="D15" s="180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57377</v>
      </c>
      <c r="D16" s="180">
        <f t="shared" si="0"/>
        <v>1.1000000000000001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269250</v>
      </c>
      <c r="D17" s="180">
        <f t="shared" si="0"/>
        <v>5.2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175026</v>
      </c>
      <c r="D18" s="180">
        <f t="shared" si="0"/>
        <v>3.4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5165</v>
      </c>
      <c r="D19" s="180">
        <f t="shared" si="0"/>
        <v>0.1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482313</v>
      </c>
      <c r="D20" s="180">
        <f t="shared" si="0"/>
        <v>9.3000000000000007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256116</v>
      </c>
      <c r="D21" s="180">
        <f t="shared" si="0"/>
        <v>4.9000000000000004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29497.820000000003</v>
      </c>
      <c r="D27" s="180">
        <f t="shared" si="0"/>
        <v>0.6</v>
      </c>
    </row>
    <row r="28" spans="1:4" x14ac:dyDescent="0.2">
      <c r="B28" s="185" t="s">
        <v>723</v>
      </c>
      <c r="C28" s="178">
        <f>SUM(C10:C27)</f>
        <v>5212970.82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5212970.82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910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3812589</v>
      </c>
      <c r="D35" s="180">
        <f t="shared" ref="D35:D40" si="1">ROUND((C35/$C$41)*100,1)</f>
        <v>74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2302.7900000000373</v>
      </c>
      <c r="D36" s="180">
        <f t="shared" si="1"/>
        <v>0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1199243</v>
      </c>
      <c r="D37" s="180">
        <f t="shared" si="1"/>
        <v>23.3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25328</v>
      </c>
      <c r="D38" s="180">
        <f t="shared" si="1"/>
        <v>0.5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110428</v>
      </c>
      <c r="D39" s="180">
        <f t="shared" si="1"/>
        <v>2.1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5149890.79</v>
      </c>
      <c r="D41" s="182">
        <f>SUM(D35:D40)</f>
        <v>99.899999999999991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2" sqref="C32:M3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1"/>
      <c r="K1" s="211"/>
      <c r="L1" s="211"/>
      <c r="M1" s="212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Rollinsford</v>
      </c>
      <c r="G2" s="290"/>
      <c r="H2" s="290"/>
      <c r="I2" s="290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6"/>
      <c r="B4" s="217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09"/>
      <c r="O29" s="209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5"/>
      <c r="AB29" s="205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5"/>
      <c r="AO29" s="205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5"/>
      <c r="BB29" s="205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5"/>
      <c r="BO29" s="205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5"/>
      <c r="CB29" s="205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5"/>
      <c r="CO29" s="205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5"/>
      <c r="DB29" s="205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5"/>
      <c r="DO29" s="205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5"/>
      <c r="EB29" s="205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5"/>
      <c r="EO29" s="205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5"/>
      <c r="FB29" s="205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5"/>
      <c r="FO29" s="205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5"/>
      <c r="GB29" s="205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5"/>
      <c r="GO29" s="205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5"/>
      <c r="HB29" s="205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5"/>
      <c r="HO29" s="205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5"/>
      <c r="IB29" s="205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5"/>
      <c r="IO29" s="205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6"/>
      <c r="B30" s="217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09"/>
      <c r="O30" s="209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5"/>
      <c r="AB30" s="205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5"/>
      <c r="AO30" s="205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5"/>
      <c r="BB30" s="205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5"/>
      <c r="BO30" s="205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5"/>
      <c r="CB30" s="205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5"/>
      <c r="CO30" s="205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5"/>
      <c r="DB30" s="205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5"/>
      <c r="DO30" s="205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5"/>
      <c r="EB30" s="205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5"/>
      <c r="EO30" s="205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5"/>
      <c r="FB30" s="205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5"/>
      <c r="FO30" s="205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5"/>
      <c r="GB30" s="205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5"/>
      <c r="GO30" s="205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5"/>
      <c r="HB30" s="205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5"/>
      <c r="HO30" s="205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5"/>
      <c r="IB30" s="205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5"/>
      <c r="IO30" s="205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6"/>
      <c r="B31" s="217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09"/>
      <c r="O31" s="209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5"/>
      <c r="AB31" s="205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5"/>
      <c r="AO31" s="205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5"/>
      <c r="BB31" s="205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5"/>
      <c r="BO31" s="205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5"/>
      <c r="CB31" s="205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5"/>
      <c r="CO31" s="205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5"/>
      <c r="DB31" s="205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5"/>
      <c r="DO31" s="205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5"/>
      <c r="EB31" s="205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5"/>
      <c r="EO31" s="205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5"/>
      <c r="FB31" s="205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5"/>
      <c r="FO31" s="205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5"/>
      <c r="GB31" s="205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5"/>
      <c r="GO31" s="205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5"/>
      <c r="HB31" s="205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5"/>
      <c r="HO31" s="205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5"/>
      <c r="IB31" s="205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5"/>
      <c r="IO31" s="205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6"/>
      <c r="B32" s="217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1"/>
      <c r="O32" s="221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6"/>
      <c r="AB32" s="217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6"/>
      <c r="AO32" s="217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6"/>
      <c r="BB32" s="217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6"/>
      <c r="BO32" s="217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6"/>
      <c r="CB32" s="217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6"/>
      <c r="CO32" s="217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6"/>
      <c r="DB32" s="217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6"/>
      <c r="DO32" s="217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6"/>
      <c r="EB32" s="217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6"/>
      <c r="EO32" s="217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6"/>
      <c r="FB32" s="217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6"/>
      <c r="FO32" s="217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6"/>
      <c r="GB32" s="217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6"/>
      <c r="GO32" s="217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6"/>
      <c r="HB32" s="217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6"/>
      <c r="HO32" s="217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6"/>
      <c r="IB32" s="217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6"/>
      <c r="IO32" s="217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6"/>
      <c r="B33" s="217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09"/>
      <c r="O38" s="209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5"/>
      <c r="AB38" s="205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5"/>
      <c r="AO38" s="205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5"/>
      <c r="BB38" s="205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5"/>
      <c r="BO38" s="205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5"/>
      <c r="CB38" s="205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5"/>
      <c r="CO38" s="205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5"/>
      <c r="DB38" s="205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5"/>
      <c r="DO38" s="205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5"/>
      <c r="EB38" s="205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5"/>
      <c r="EO38" s="205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5"/>
      <c r="FB38" s="205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5"/>
      <c r="FO38" s="205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5"/>
      <c r="GB38" s="205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5"/>
      <c r="GO38" s="205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5"/>
      <c r="HB38" s="205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5"/>
      <c r="HO38" s="205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5"/>
      <c r="IB38" s="205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5"/>
      <c r="IO38" s="205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6"/>
      <c r="B39" s="217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09"/>
      <c r="O39" s="209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5"/>
      <c r="AB39" s="205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5"/>
      <c r="AO39" s="205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5"/>
      <c r="BB39" s="205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5"/>
      <c r="BO39" s="205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5"/>
      <c r="CB39" s="205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5"/>
      <c r="CO39" s="205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5"/>
      <c r="DB39" s="205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5"/>
      <c r="DO39" s="205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5"/>
      <c r="EB39" s="205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5"/>
      <c r="EO39" s="205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5"/>
      <c r="FB39" s="205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5"/>
      <c r="FO39" s="205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5"/>
      <c r="GB39" s="205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5"/>
      <c r="GO39" s="205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5"/>
      <c r="HB39" s="205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5"/>
      <c r="HO39" s="205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5"/>
      <c r="IB39" s="205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5"/>
      <c r="IO39" s="205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6"/>
      <c r="B40" s="217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09"/>
      <c r="O40" s="209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5"/>
      <c r="AB40" s="205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5"/>
      <c r="AO40" s="205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5"/>
      <c r="BB40" s="205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5"/>
      <c r="BO40" s="205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5"/>
      <c r="CB40" s="205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5"/>
      <c r="CO40" s="205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5"/>
      <c r="DB40" s="205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5"/>
      <c r="DO40" s="205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5"/>
      <c r="EB40" s="205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5"/>
      <c r="EO40" s="205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5"/>
      <c r="FB40" s="205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5"/>
      <c r="FO40" s="205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5"/>
      <c r="GB40" s="205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5"/>
      <c r="GO40" s="205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5"/>
      <c r="HB40" s="205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5"/>
      <c r="HO40" s="205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5"/>
      <c r="IB40" s="205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5"/>
      <c r="IO40" s="205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6"/>
      <c r="B41" s="217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6"/>
      <c r="B60" s="217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6"/>
      <c r="B61" s="217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6"/>
      <c r="B62" s="217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6"/>
      <c r="B63" s="217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6"/>
      <c r="B64" s="217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6"/>
      <c r="B65" s="217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6"/>
      <c r="B66" s="217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6"/>
      <c r="B67" s="217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6"/>
      <c r="B68" s="217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6"/>
      <c r="B69" s="217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8"/>
      <c r="B70" s="219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8" t="s">
        <v>848</v>
      </c>
      <c r="B72" s="298"/>
      <c r="C72" s="298"/>
      <c r="D72" s="298"/>
      <c r="E72" s="298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09"/>
      <c r="B74" s="209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09"/>
      <c r="B75" s="209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09"/>
      <c r="B76" s="209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09"/>
      <c r="B77" s="209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09"/>
      <c r="B78" s="209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09"/>
      <c r="B79" s="209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09"/>
      <c r="B80" s="209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09"/>
      <c r="B81" s="209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09"/>
      <c r="B82" s="209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09"/>
      <c r="B83" s="209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09"/>
      <c r="B84" s="209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09"/>
      <c r="B85" s="209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09"/>
      <c r="B86" s="209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09"/>
      <c r="B87" s="209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09"/>
      <c r="B88" s="209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09"/>
      <c r="B89" s="209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09"/>
      <c r="B90" s="209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2015-12-21T13:52:49Z</cp:lastPrinted>
  <dcterms:created xsi:type="dcterms:W3CDTF">1997-12-04T19:04:30Z</dcterms:created>
  <dcterms:modified xsi:type="dcterms:W3CDTF">2015-12-21T14:00:53Z</dcterms:modified>
</cp:coreProperties>
</file>