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C13" i="10" s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6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E121" i="2"/>
  <c r="E122" i="2"/>
  <c r="C123" i="2"/>
  <c r="E123" i="2"/>
  <c r="C125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G476" i="1" s="1"/>
  <c r="H623" i="1" s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5" i="1"/>
  <c r="H647" i="1"/>
  <c r="G649" i="1"/>
  <c r="J649" i="1" s="1"/>
  <c r="G650" i="1"/>
  <c r="G652" i="1"/>
  <c r="H652" i="1"/>
  <c r="G653" i="1"/>
  <c r="H653" i="1"/>
  <c r="G654" i="1"/>
  <c r="H654" i="1"/>
  <c r="H655" i="1"/>
  <c r="F192" i="1"/>
  <c r="K257" i="1"/>
  <c r="C18" i="2"/>
  <c r="C26" i="10"/>
  <c r="L328" i="1"/>
  <c r="L351" i="1"/>
  <c r="A31" i="12"/>
  <c r="C70" i="2"/>
  <c r="D18" i="13"/>
  <c r="C18" i="13" s="1"/>
  <c r="D15" i="13"/>
  <c r="C15" i="13" s="1"/>
  <c r="D7" i="13"/>
  <c r="C7" i="13" s="1"/>
  <c r="D17" i="13"/>
  <c r="C17" i="13" s="1"/>
  <c r="F78" i="2"/>
  <c r="F81" i="2" s="1"/>
  <c r="C78" i="2"/>
  <c r="D50" i="2"/>
  <c r="G157" i="2"/>
  <c r="F18" i="2"/>
  <c r="G161" i="2"/>
  <c r="G156" i="2"/>
  <c r="E103" i="2"/>
  <c r="D91" i="2"/>
  <c r="E62" i="2"/>
  <c r="E63" i="2" s="1"/>
  <c r="E31" i="2"/>
  <c r="D19" i="13"/>
  <c r="C19" i="13" s="1"/>
  <c r="D14" i="13"/>
  <c r="C14" i="13" s="1"/>
  <c r="E13" i="13"/>
  <c r="C13" i="13" s="1"/>
  <c r="E78" i="2"/>
  <c r="E81" i="2" s="1"/>
  <c r="L427" i="1"/>
  <c r="J641" i="1"/>
  <c r="J639" i="1"/>
  <c r="J571" i="1"/>
  <c r="K571" i="1"/>
  <c r="L433" i="1"/>
  <c r="L419" i="1"/>
  <c r="I169" i="1"/>
  <c r="H169" i="1"/>
  <c r="J643" i="1"/>
  <c r="J476" i="1"/>
  <c r="H626" i="1" s="1"/>
  <c r="H476" i="1"/>
  <c r="H624" i="1" s="1"/>
  <c r="J624" i="1" s="1"/>
  <c r="I476" i="1"/>
  <c r="H625" i="1" s="1"/>
  <c r="J625" i="1" s="1"/>
  <c r="G338" i="1"/>
  <c r="G352" i="1" s="1"/>
  <c r="F169" i="1"/>
  <c r="J140" i="1"/>
  <c r="F571" i="1"/>
  <c r="H257" i="1"/>
  <c r="H271" i="1" s="1"/>
  <c r="I552" i="1"/>
  <c r="K550" i="1"/>
  <c r="G22" i="2"/>
  <c r="J552" i="1"/>
  <c r="C29" i="10"/>
  <c r="H140" i="1"/>
  <c r="L401" i="1"/>
  <c r="C139" i="2" s="1"/>
  <c r="L393" i="1"/>
  <c r="H571" i="1"/>
  <c r="L560" i="1"/>
  <c r="J545" i="1"/>
  <c r="G192" i="1"/>
  <c r="H192" i="1"/>
  <c r="F552" i="1"/>
  <c r="C35" i="10"/>
  <c r="L309" i="1"/>
  <c r="E16" i="13"/>
  <c r="C16" i="13" s="1"/>
  <c r="J655" i="1"/>
  <c r="J645" i="1"/>
  <c r="L570" i="1"/>
  <c r="I571" i="1"/>
  <c r="J636" i="1"/>
  <c r="G36" i="2"/>
  <c r="L565" i="1"/>
  <c r="C138" i="2"/>
  <c r="A40" i="12" l="1"/>
  <c r="A13" i="12"/>
  <c r="H545" i="1"/>
  <c r="H552" i="1"/>
  <c r="K551" i="1"/>
  <c r="G545" i="1"/>
  <c r="L534" i="1"/>
  <c r="L545" i="1" s="1"/>
  <c r="K549" i="1"/>
  <c r="J640" i="1"/>
  <c r="I460" i="1"/>
  <c r="I461" i="1" s="1"/>
  <c r="H642" i="1" s="1"/>
  <c r="K598" i="1"/>
  <c r="G647" i="1" s="1"/>
  <c r="I545" i="1"/>
  <c r="K503" i="1"/>
  <c r="I446" i="1"/>
  <c r="G642" i="1" s="1"/>
  <c r="J634" i="1"/>
  <c r="L362" i="1"/>
  <c r="G635" i="1" s="1"/>
  <c r="J635" i="1" s="1"/>
  <c r="D127" i="2"/>
  <c r="D128" i="2" s="1"/>
  <c r="D145" i="2" s="1"/>
  <c r="H661" i="1"/>
  <c r="I661" i="1" s="1"/>
  <c r="D29" i="13"/>
  <c r="C29" i="13" s="1"/>
  <c r="K352" i="1"/>
  <c r="H338" i="1"/>
  <c r="H352" i="1" s="1"/>
  <c r="E124" i="2"/>
  <c r="I662" i="1"/>
  <c r="E128" i="2"/>
  <c r="E115" i="2"/>
  <c r="J338" i="1"/>
  <c r="J352" i="1" s="1"/>
  <c r="L290" i="1"/>
  <c r="K271" i="1"/>
  <c r="H25" i="13"/>
  <c r="L256" i="1"/>
  <c r="J257" i="1"/>
  <c r="J271" i="1" s="1"/>
  <c r="I257" i="1"/>
  <c r="I271" i="1" s="1"/>
  <c r="L247" i="1"/>
  <c r="H660" i="1" s="1"/>
  <c r="C10" i="10"/>
  <c r="G257" i="1"/>
  <c r="G271" i="1" s="1"/>
  <c r="F257" i="1"/>
  <c r="F271" i="1" s="1"/>
  <c r="E8" i="13"/>
  <c r="C8" i="13" s="1"/>
  <c r="C19" i="10"/>
  <c r="C120" i="2"/>
  <c r="J647" i="1"/>
  <c r="C124" i="2"/>
  <c r="C118" i="2"/>
  <c r="D5" i="13"/>
  <c r="C5" i="13" s="1"/>
  <c r="C109" i="2"/>
  <c r="C115" i="2" s="1"/>
  <c r="D12" i="13"/>
  <c r="C12" i="13" s="1"/>
  <c r="C18" i="10"/>
  <c r="C17" i="10"/>
  <c r="D6" i="13"/>
  <c r="C6" i="13" s="1"/>
  <c r="L211" i="1"/>
  <c r="C81" i="2"/>
  <c r="C62" i="2"/>
  <c r="C63" i="2" s="1"/>
  <c r="F112" i="1"/>
  <c r="J623" i="1"/>
  <c r="D31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K552" i="1" l="1"/>
  <c r="J642" i="1"/>
  <c r="H646" i="1"/>
  <c r="H664" i="1"/>
  <c r="H667" i="1" s="1"/>
  <c r="E145" i="2"/>
  <c r="L338" i="1"/>
  <c r="L352" i="1" s="1"/>
  <c r="G633" i="1" s="1"/>
  <c r="J633" i="1" s="1"/>
  <c r="H648" i="1"/>
  <c r="J648" i="1" s="1"/>
  <c r="D31" i="13"/>
  <c r="C31" i="13" s="1"/>
  <c r="F660" i="1"/>
  <c r="F664" i="1" s="1"/>
  <c r="F667" i="1" s="1"/>
  <c r="C25" i="13"/>
  <c r="H33" i="13"/>
  <c r="H672" i="1"/>
  <c r="C6" i="10" s="1"/>
  <c r="E33" i="13"/>
  <c r="D35" i="13" s="1"/>
  <c r="C128" i="2"/>
  <c r="C145" i="2" s="1"/>
  <c r="C28" i="10"/>
  <c r="D22" i="10" s="1"/>
  <c r="L257" i="1"/>
  <c r="L271" i="1" s="1"/>
  <c r="G632" i="1" s="1"/>
  <c r="J632" i="1" s="1"/>
  <c r="C104" i="2"/>
  <c r="G672" i="1"/>
  <c r="C5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F672" i="1" l="1"/>
  <c r="C4" i="10" s="1"/>
  <c r="D33" i="13"/>
  <c r="D36" i="13" s="1"/>
  <c r="I660" i="1"/>
  <c r="I664" i="1" s="1"/>
  <c r="I672" i="1" s="1"/>
  <c r="C7" i="10" s="1"/>
  <c r="D23" i="10"/>
  <c r="D10" i="10"/>
  <c r="D24" i="10"/>
  <c r="D27" i="10"/>
  <c r="D17" i="10"/>
  <c r="C30" i="10"/>
  <c r="D18" i="10"/>
  <c r="D12" i="10"/>
  <c r="D26" i="10"/>
  <c r="D16" i="10"/>
  <c r="D20" i="10"/>
  <c r="D15" i="10"/>
  <c r="D25" i="10"/>
  <c r="D19" i="10"/>
  <c r="D13" i="10"/>
  <c r="D11" i="10"/>
  <c r="D21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<sst xmlns="http://schemas.openxmlformats.org/spreadsheetml/2006/main" count="3957" uniqueCount="915">
  <si>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</si>
  <si>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</si>
  <si>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</si>
  <si>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</si>
  <si>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</si>
  <si>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</si>
  <si>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</si>
  <si>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</si>
  <si>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</si>
  <si>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</si>
  <si>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</si>
  <si>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</si>
  <si>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</si>
  <si>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</si>
  <si>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</si>
  <si>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</si>
  <si>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</si>
  <si>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</si>
  <si>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</si>
  <si>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</si>
  <si>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</si>
  <si>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</si>
  <si>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</si>
  <si>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</si>
  <si>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</si>
  <si>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</si>
  <si>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</si>
  <si>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</si>
  <si>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</si>
  <si>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</si>
  <si>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</si>
  <si>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</si>
  <si>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</si>
  <si>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</si>
  <si>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</si>
  <si>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</si>
  <si>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</si>
  <si>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</si>
  <si>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</si>
  <si>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</si>
  <si>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</si>
  <si>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</si>
  <si>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</si>
  <si>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</si>
  <si>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</si>
  <si>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</si>
  <si>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</si>
  <si>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</si>
  <si>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</si>
  <si>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</si>
  <si>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</si>
  <si>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</si>
  <si>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</si>
  <si>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</si>
  <si>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</si>
  <si>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</si>
  <si>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</si>
  <si>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</si>
  <si>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</si>
  <si>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</si>
  <si>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</si>
  <si>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</si>
  <si>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</si>
  <si>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</si>
  <si>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</si>
  <si>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</si>
  <si>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</si>
  <si>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</si>
  <si>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</si>
  <si>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</si>
  <si>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</si>
  <si>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</si>
  <si>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</si>
  <si>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</si>
  <si>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</si>
  <si>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</si>
  <si>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</si>
  <si>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</si>
  <si>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</si>
  <si>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</si>
  <si>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</si>
  <si>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</si>
  <si>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</si>
  <si>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</si>
  <si>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</si>
  <si>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</si>
  <si>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</si>
  <si>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</si>
  <si>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</si>
  <si>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</si>
  <si>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</si>
  <si>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</si>
  <si>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</si>
  <si>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</si>
  <si>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</si>
  <si>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</si>
  <si>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</si>
  <si>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</si>
  <si>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</si>
  <si>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</si>
  <si>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</si>
  <si>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</si>
  <si>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</si>
  <si>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</si>
  <si>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</si>
  <si>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</si>
  <si>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</si>
  <si>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</si>
  <si>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</si>
  <si>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</si>
  <si>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</si>
  <si>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</si>
  <si>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</si>
  <si>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</si>
  <si>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</si>
  <si>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</si>
  <si>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</si>
  <si>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</si>
  <si>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</si>
  <si>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</si>
  <si>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</si>
  <si>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</si>
  <si>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</si>
  <si>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</si>
  <si>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</si>
  <si>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</si>
  <si>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</si>
  <si>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</si>
  <si>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</si>
  <si>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</si>
  <si>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</si>
  <si>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</si>
  <si>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</si>
  <si>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</si>
  <si>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</si>
  <si>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</si>
  <si>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</si>
  <si>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</si>
  <si>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</si>
  <si>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</si>
  <si>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</si>
  <si>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</si>
  <si>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</si>
  <si>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</si>
  <si>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</si>
  <si>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</si>
  <si>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</si>
  <si>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</si>
  <si>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</si>
  <si>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</si>
  <si>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</si>
  <si>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</si>
  <si>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</si>
  <si>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</si>
  <si>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</si>
  <si>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</si>
  <si>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</si>
  <si>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</si>
  <si>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</si>
  <si>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</si>
  <si>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</si>
  <si>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</si>
  <si>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</si>
  <si>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</si>
  <si>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</si>
  <si>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</si>
  <si>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</si>
  <si>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</si>
  <si>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</si>
  <si>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</si>
  <si>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</si>
  <si>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</si>
  <si>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</si>
  <si>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</si>
  <si>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</si>
  <si>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</si>
  <si>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</si>
  <si>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</si>
  <si>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</si>
  <si>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</si>
  <si>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</si>
  <si>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</si>
  <si>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</si>
  <si>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</si>
  <si>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</si>
  <si>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</si>
  <si>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</si>
  <si>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</si>
  <si>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</si>
  <si>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</si>
  <si>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</si>
  <si>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</si>
  <si>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</si>
  <si>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</si>
  <si>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</si>
  <si>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</si>
  <si>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</si>
  <si>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</si>
  <si>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</si>
  <si>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</si>
  <si>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</si>
  <si>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</si>
  <si>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</si>
  <si>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</si>
  <si>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</si>
  <si>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</si>
  <si>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</si>
  <si>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</si>
  <si>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</si>
  <si>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</si>
  <si>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</si>
  <si>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</si>
  <si>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</si>
  <si>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</si>
  <si>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</si>
  <si>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</si>
  <si>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</si>
  <si>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</si>
  <si>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</si>
  <si>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</si>
  <si>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</si>
  <si>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</si>
  <si>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</si>
  <si>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</si>
  <si>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</si>
  <si>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</si>
  <si>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</si>
  <si>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</si>
  <si>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</si>
  <si>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</si>
  <si>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</si>
  <si>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</si>
  <si>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</si>
  <si>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</si>
  <si>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</si>
  <si>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</si>
  <si>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</si>
  <si>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</si>
  <si>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</si>
  <si>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</si>
  <si>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</si>
  <si>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</si>
  <si>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</si>
  <si>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</si>
  <si>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</si>
  <si>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</si>
  <si>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</si>
  <si>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</si>
  <si>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</si>
  <si>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</si>
  <si>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</si>
  <si>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</si>
  <si>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</si>
  <si>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</si>
  <si>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</si>
  <si>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</si>
  <si>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</si>
  <si>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</si>
  <si>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</si>
  <si>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</si>
  <si>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</si>
  <si>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</si>
  <si>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</si>
  <si>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</si>
  <si>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</si>
  <si>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</si>
  <si>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</si>
  <si>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</si>
  <si>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</si>
  <si>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</si>
  <si>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</si>
  <si>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</si>
  <si>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</si>
  <si>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</si>
  <si>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</si>
  <si>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</si>
  <si>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</si>
  <si>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</si>
  <si>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</si>
  <si>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</si>
  <si>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</si>
  <si>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</si>
  <si>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</si>
  <si>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</si>
  <si>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</si>
  <si>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</si>
  <si>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</si>
  <si>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</si>
  <si>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</si>
  <si>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</si>
  <si>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</si>
  <si>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</si>
  <si>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</si>
  <si>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</si>
  <si>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</si>
  <si>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</si>
  <si>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</si>
  <si>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</si>
  <si>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</si>
  <si>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</si>
  <si>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</si>
  <si>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</si>
  <si>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</si>
  <si>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</si>
  <si>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</si>
  <si>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</si>
  <si>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</si>
  <si>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</si>
  <si>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</si>
  <si>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</si>
  <si>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</si>
  <si>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</si>
  <si>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</si>
  <si>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</si>
  <si>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</si>
  <si>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</si>
  <si>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</si>
  <si>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</si>
  <si>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</si>
  <si>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</si>
  <si>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</si>
  <si>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</si>
  <si>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</si>
  <si>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</si>
  <si>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</si>
  <si>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</si>
  <si>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</si>
  <si>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</si>
  <si>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</si>
  <si>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</si>
  <si>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</si>
  <si>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</si>
  <si>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</si>
  <si>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</si>
  <si>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</si>
  <si>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</si>
  <si>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</si>
  <si>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</si>
  <si>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</si>
  <si>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</si>
  <si>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</si>
  <si>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</si>
  <si>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</si>
  <si>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</si>
  <si>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</si>
  <si>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</si>
  <si>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</si>
  <si>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</si>
  <si>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</si>
  <si>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</si>
  <si>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</si>
  <si>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</si>
  <si>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</si>
  <si>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</si>
  <si>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</si>
  <si>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</si>
  <si>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</si>
  <si>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</si>
  <si>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</si>
  <si>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</si>
  <si>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</si>
  <si>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</si>
  <si>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</si>
  <si>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</si>
  <si>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</si>
  <si>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</si>
  <si>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</si>
  <si>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</si>
  <si>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</si>
  <si>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</si>
  <si>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</si>
  <si>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</si>
  <si>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</si>
  <si>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</si>
  <si>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</si>
  <si>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</si>
  <si>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</si>
  <si>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</si>
  <si>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</si>
  <si>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</si>
  <si>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</si>
  <si>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</si>
  <si>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</si>
  <si>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</si>
  <si>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</si>
  <si>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</si>
  <si>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</si>
  <si>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</si>
  <si>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</si>
  <si>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</si>
  <si>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</si>
  <si>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</si>
  <si>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</si>
  <si>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</si>
  <si>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</si>
  <si>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</si>
  <si>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</si>
  <si>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</si>
  <si>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</si>
  <si>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</si>
  <si>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</si>
  <si>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</si>
  <si>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</si>
  <si>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</si>
  <si>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</si>
  <si>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</si>
  <si>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</si>
  <si>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</si>
  <si>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</si>
  <si>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</si>
  <si>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</si>
  <si>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</si>
  <si>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</si>
  <si>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</si>
  <si>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</si>
  <si>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</si>
  <si>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</si>
  <si>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</si>
  <si>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</si>
  <si>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</si>
  <si>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</si>
  <si>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</si>
  <si>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</si>
  <si>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</si>
  <si>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</si>
  <si>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</si>
  <si>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</si>
  <si>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</si>
  <si>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</si>
  <si>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</si>
  <si>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</si>
  <si>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</si>
  <si>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</si>
  <si>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</si>
  <si>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</si>
  <si>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</si>
  <si>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</si>
  <si>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</si>
  <si>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</si>
  <si>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</si>
  <si>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</si>
  <si>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</si>
  <si>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</si>
  <si>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</si>
  <si>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</si>
  <si>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</si>
  <si>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</si>
  <si>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</si>
  <si>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</si>
  <si>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</si>
  <si>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</si>
  <si>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</si>
  <si>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</si>
  <si>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</si>
  <si>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</si>
  <si>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</si>
  <si>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</si>
  <si>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</si>
  <si>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</si>
  <si>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</si>
  <si>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</si>
  <si>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</si>
  <si>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</si>
  <si>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</si>
  <si>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</si>
  <si>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</si>
  <si>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</si>
  <si>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</si>
  <si>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</si>
  <si>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</si>
  <si>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</si>
  <si>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</si>
  <si>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</si>
  <si>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</si>
  <si>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</si>
  <si>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</si>
  <si>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</si>
  <si>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</si>
  <si>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</si>
  <si>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</si>
  <si>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</si>
  <si>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</si>
  <si>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</si>
  <si>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</si>
  <si>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</si>
  <si>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</si>
  <si>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</si>
  <si>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</si>
  <si>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</si>
  <si>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</si>
  <si>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</si>
  <si>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</si>
  <si>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</si>
  <si>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</si>
  <si>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</si>
  <si>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</si>
  <si>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</si>
  <si>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</si>
  <si>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</si>
  <si>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</si>
  <si>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</si>
  <si>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</si>
  <si>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</si>
  <si>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</si>
  <si>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</si>
  <si>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</si>
  <si>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</si>
  <si>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</si>
  <si>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</si>
  <si>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</si>
  <si>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</si>
  <si>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</si>
  <si>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</si>
  <si>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</si>
  <si>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</si>
  <si>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</si>
  <si>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</si>
  <si>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</si>
  <si>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</si>
  <si>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</si>
  <si>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</si>
  <si>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</si>
  <si>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</si>
  <si>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</si>
  <si>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</si>
  <si>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</si>
  <si>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</si>
  <si>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</si>
  <si>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</si>
  <si>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</si>
  <si>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</si>
  <si>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</si>
  <si>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</si>
  <si>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</si>
  <si>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</si>
  <si>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</si>
  <si>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</si>
  <si>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</si>
  <si>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</si>
  <si>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</si>
  <si>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</si>
  <si>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</si>
  <si>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</si>
  <si>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</si>
  <si>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</si>
  <si>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</si>
  <si>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</si>
  <si>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</si>
  <si>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</si>
  <si>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</si>
  <si>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</si>
  <si>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</si>
  <si>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</si>
  <si>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</si>
  <si>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</si>
  <si>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</si>
  <si>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</si>
  <si>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</si>
  <si>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</si>
  <si>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</si>
  <si>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</si>
  <si>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</si>
  <si>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</si>
  <si>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</si>
  <si>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</si>
  <si>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</si>
  <si>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</si>
  <si>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</si>
  <si>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</si>
  <si>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</si>
  <si>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</si>
  <si>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</si>
  <si>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</si>
  <si>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</si>
  <si>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</si>
  <si>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</si>
  <si>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</si>
  <si>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</si>
  <si>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</si>
  <si>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</si>
  <si>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</si>
  <si>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</si>
  <si>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</si>
  <si>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</si>
  <si>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</si>
  <si>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</si>
  <si>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</si>
  <si>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</si>
  <si>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</si>
  <si>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</si>
  <si>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</si>
  <si>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</si>
  <si>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</si>
  <si>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</si>
  <si>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</si>
  <si>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</si>
  <si>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</si>
  <si>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</si>
  <si>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</si>
  <si>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</si>
  <si>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</si>
  <si>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</si>
  <si>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</si>
  <si>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</si>
  <si>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</si>
  <si>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</si>
  <si>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</si>
  <si>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</si>
  <si>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</si>
  <si>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</si>
  <si>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</si>
  <si>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</si>
  <si>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</si>
  <si>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</si>
  <si>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</si>
  <si>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</si>
  <si>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</si>
  <si>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</si>
  <si>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</si>
  <si>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</si>
  <si>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</si>
  <si>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</si>
  <si>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</si>
  <si>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</si>
  <si>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</si>
  <si>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</si>
  <si>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</si>
  <si>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</si>
  <si>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</si>
  <si>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</si>
  <si>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</si>
  <si>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</si>
  <si>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</si>
  <si>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</si>
  <si>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</si>
  <si>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</si>
  <si>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</si>
  <si>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</si>
  <si>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</si>
  <si>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</si>
  <si>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</si>
  <si>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</si>
  <si>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</si>
  <si>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</si>
  <si>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</si>
  <si>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</si>
  <si>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</si>
  <si>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</si>
  <si>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</si>
  <si>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</si>
  <si>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</si>
  <si>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</si>
  <si>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</si>
  <si>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</si>
  <si>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</si>
  <si>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</si>
  <si>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</si>
  <si>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</si>
  <si>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</si>
  <si>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</si>
  <si>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</si>
  <si>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</si>
  <si>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</si>
  <si>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</si>
  <si>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</si>
  <si>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</si>
  <si>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</si>
  <si>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</si>
  <si>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</si>
  <si>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</si>
  <si>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</si>
  <si>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</si>
  <si>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</si>
  <si>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</si>
  <si>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</si>
  <si>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</si>
  <si>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</si>
  <si>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</si>
  <si>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</si>
  <si>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</si>
  <si>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</si>
  <si>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</si>
  <si>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</si>
  <si>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</si>
  <si>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</si>
  <si>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</si>
  <si>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</si>
  <si>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</si>
  <si>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</si>
  <si>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</si>
  <si>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</si>
  <si>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</si>
  <si>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</si>
  <si>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</si>
  <si>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</si>
  <si>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</si>
  <si>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</si>
  <si>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</si>
  <si>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</si>
  <si>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</si>
  <si>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</si>
  <si>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</si>
  <si>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</si>
  <si>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</si>
  <si>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</si>
  <si>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</si>
  <si>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</si>
  <si>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</si>
  <si>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</si>
  <si>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</si>
  <si>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</si>
  <si>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</si>
  <si>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</si>
  <si>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</si>
  <si>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</si>
  <si>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</si>
  <si>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</si>
  <si>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</si>
  <si>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</si>
  <si>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</si>
  <si>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</si>
  <si>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</si>
  <si>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</si>
  <si>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</si>
  <si>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</si>
  <si>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</si>
  <si>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</si>
  <si>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</si>
  <si>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</si>
  <si>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</si>
  <si>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</si>
  <si>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</si>
  <si>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</si>
  <si>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</si>
  <si>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</si>
  <si>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</si>
  <si>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</si>
  <si>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</si>
  <si>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</si>
  <si>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</si>
  <si>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</si>
  <si>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</si>
  <si>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</si>
  <si>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</si>
  <si>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</si>
  <si>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</si>
  <si>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</si>
  <si>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</si>
  <si>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</si>
  <si>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</si>
  <si>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</si>
  <si>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</si>
  <si>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</si>
  <si>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</si>
  <si>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</si>
  <si>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</si>
  <si>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</si>
  <si>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</si>
  <si>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</si>
  <si>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</si>
  <si>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</si>
  <si>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</si>
  <si>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</si>
  <si>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</si>
  <si>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</si>
  <si>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</si>
  <si>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</si>
  <si>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</si>
  <si>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</si>
  <si>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</si>
  <si>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</si>
  <si>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</si>
  <si>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</si>
  <si>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</si>
  <si>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</si>
  <si>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</si>
  <si>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</si>
  <si>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</si>
  <si>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</si>
  <si>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</si>
  <si>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</si>
  <si>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</si>
  <si>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</si>
  <si>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</si>
  <si>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</si>
  <si>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</si>
  <si>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</si>
  <si>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</si>
  <si>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</si>
  <si>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</si>
  <si>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</si>
  <si>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</si>
  <si>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</si>
  <si>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</si>
  <si>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</si>
  <si>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</si>
  <si>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</si>
  <si>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</si>
  <si>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</si>
  <si>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</si>
  <si>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</si>
  <si>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</si>
  <si>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</si>
  <si>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</si>
  <si>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</si>
  <si>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</si>
  <si>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</si>
  <si>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</si>
  <si>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</si>
  <si>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</si>
  <si>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</si>
  <si>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</si>
  <si>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</si>
  <si>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</si>
  <si>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</si>
  <si>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</si>
  <si>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</si>
  <si>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</si>
  <si>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</si>
  <si>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</si>
  <si>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</si>
  <si>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</si>
  <si>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</si>
  <si>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</si>
  <si>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</si>
  <si>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</si>
  <si>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</si>
  <si>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</si>
  <si>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</si>
  <si>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</si>
  <si>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</si>
  <si>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</si>
  <si>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</si>
  <si>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</si>
  <si>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</si>
  <si>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</si>
  <si>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</si>
  <si>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</si>
  <si>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</si>
  <si>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</si>
  <si>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</si>
  <si>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</si>
  <si>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</si>
  <si>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</si>
  <si>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</si>
  <si>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</si>
  <si>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</si>
  <si>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</si>
  <si>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</si>
  <si>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</si>
  <si>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</si>
  <si>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</si>
  <si>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</si>
  <si>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</si>
  <si>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</si>
  <si>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</si>
  <si>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</si>
  <si>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</si>
  <si>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</si>
  <si>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</si>
  <si>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</si>
  <si>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</si>
  <si>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</si>
  <si>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</si>
  <si>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</si>
  <si>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</si>
  <si>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</si>
  <si>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</si>
  <si>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</si>
  <si>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</si>
  <si>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</si>
  <si>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</si>
  <si>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</si>
  <si>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</si>
  <si>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</si>
  <si>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</si>
  <si>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</si>
  <si>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</si>
  <si>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</si>
  <si>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</si>
  <si>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</si>
  <si>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</si>
  <si>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</si>
  <si>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</si>
  <si>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</si>
  <si>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</si>
  <si>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</si>
  <si>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</si>
  <si>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</si>
  <si>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</si>
  <si>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</si>
  <si>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</si>
  <si>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</si>
  <si>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</si>
  <si>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</si>
  <si>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</si>
  <si>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</si>
  <si>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</si>
  <si>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</si>
  <si>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</si>
  <si>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</si>
  <si>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</si>
  <si>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</si>
  <si>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</si>
  <si>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</si>
  <si>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</si>
  <si>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</si>
  <si>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</si>
  <si>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</si>
  <si>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</si>
  <si>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</si>
  <si>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Rye School District</t>
  </si>
  <si>
    <t>Increase in inventory $168.31</t>
  </si>
  <si>
    <t>12/96</t>
  </si>
  <si>
    <t>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</si>
</sst>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471</v>
      </c>
      <c r="C2" s="21">
        <v>471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496960.98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283020.46999999997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27932.71</v>
      </c>
      <c r="G12" s="18"/>
      <c r="H12" s="18">
        <v>10230.07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779.69</v>
      </c>
      <c r="G13" s="18">
        <v>1771.58</v>
      </c>
      <c r="H13" s="18">
        <v>1263.5899999999999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1168.81</v>
      </c>
      <c r="G14" s="18"/>
      <c r="H14" s="18">
        <v>25013.54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629.69000000000005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526842.18999999994</v>
      </c>
      <c r="G19" s="41">
        <f>SUM(G9:G18)</f>
        <v>2401.27</v>
      </c>
      <c r="H19" s="41">
        <f>SUM(H9:H18)</f>
        <v>36507.199999999997</v>
      </c>
      <c r="I19" s="41">
        <f>SUM(I9:I18)</f>
        <v>0</v>
      </c>
      <c r="J19" s="41">
        <f>SUM(J9:J18)</f>
        <v>283020.46999999997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10230.07</v>
      </c>
      <c r="G22" s="18">
        <v>1655.58</v>
      </c>
      <c r="H22" s="18">
        <v>26277.13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1388.54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20094.759999999998</v>
      </c>
      <c r="G24" s="18">
        <v>116</v>
      </c>
      <c r="H24" s="18">
        <v>5066.22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41806.82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73520.19</v>
      </c>
      <c r="G32" s="41">
        <f>SUM(G22:G31)</f>
        <v>1771.58</v>
      </c>
      <c r="H32" s="41">
        <f>SUM(H22:H31)</f>
        <v>31343.350000000002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629.69000000000005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297202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5163.8500000000004</v>
      </c>
      <c r="I48" s="18"/>
      <c r="J48" s="13">
        <f>SUM(I459)</f>
        <v>283020.46999999997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156120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453322</v>
      </c>
      <c r="G51" s="41">
        <f>SUM(G35:G50)</f>
        <v>629.69000000000005</v>
      </c>
      <c r="H51" s="41">
        <f>SUM(H35:H50)</f>
        <v>5163.8500000000004</v>
      </c>
      <c r="I51" s="41">
        <f>SUM(I35:I50)</f>
        <v>0</v>
      </c>
      <c r="J51" s="41">
        <f>SUM(J35:J50)</f>
        <v>283020.46999999997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526842.18999999994</v>
      </c>
      <c r="G52" s="41">
        <f>G51+G32</f>
        <v>2401.27</v>
      </c>
      <c r="H52" s="41">
        <f>H51+H32</f>
        <v>36507.200000000004</v>
      </c>
      <c r="I52" s="41">
        <f>I51+I32</f>
        <v>0</v>
      </c>
      <c r="J52" s="41">
        <f>J51+J32</f>
        <v>283020.46999999997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7495231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7495231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242317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243317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26.69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135743.44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70696.929999999993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700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3657.22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4357.2199999999993</v>
      </c>
      <c r="G111" s="41">
        <f>SUM(G96:G110)</f>
        <v>135743.44</v>
      </c>
      <c r="H111" s="41">
        <f>SUM(H96:H110)</f>
        <v>70696.929999999993</v>
      </c>
      <c r="I111" s="41">
        <f>SUM(I96:I110)</f>
        <v>0</v>
      </c>
      <c r="J111" s="41">
        <f>SUM(J96:J110)</f>
        <v>26.69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7742905.2199999997</v>
      </c>
      <c r="G112" s="41">
        <f>G60+G111</f>
        <v>135743.44</v>
      </c>
      <c r="H112" s="41">
        <f>H60+H79+H94+H111</f>
        <v>70696.929999999993</v>
      </c>
      <c r="I112" s="41">
        <f>I60+I111</f>
        <v>0</v>
      </c>
      <c r="J112" s="41">
        <f>J60+J111</f>
        <v>26.69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4505379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4505379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116411.54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2498.2199999999998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116411.54</v>
      </c>
      <c r="G136" s="41">
        <f>SUM(G123:G135)</f>
        <v>2498.2199999999998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4621790.54</v>
      </c>
      <c r="G140" s="41">
        <f>G121+SUM(G136:G137)</f>
        <v>2498.2199999999998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17504.5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60506.67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23962.880000000001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38666.43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38666.43</v>
      </c>
      <c r="G162" s="41">
        <f>SUM(G150:G161)</f>
        <v>23962.880000000001</v>
      </c>
      <c r="H162" s="41">
        <f>SUM(H150:H161)</f>
        <v>78011.17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38666.43</v>
      </c>
      <c r="G169" s="41">
        <f>G147+G162+SUM(G163:G168)</f>
        <v>23962.880000000001</v>
      </c>
      <c r="H169" s="41">
        <f>H147+H162+SUM(H163:H168)</f>
        <v>78011.17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22478.34</v>
      </c>
      <c r="H179" s="18">
        <v>2066.17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515.35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515.35</v>
      </c>
      <c r="G183" s="41">
        <f>SUM(G179:G182)</f>
        <v>22478.34</v>
      </c>
      <c r="H183" s="41">
        <f>SUM(H179:H182)</f>
        <v>2066.17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515.35</v>
      </c>
      <c r="G192" s="41">
        <f>G183+SUM(G188:G191)</f>
        <v>22478.34</v>
      </c>
      <c r="H192" s="41">
        <f>+H183+SUM(H188:H191)</f>
        <v>2066.17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12403877.539999999</v>
      </c>
      <c r="G193" s="47">
        <f>G112+G140+G169+G192</f>
        <v>184682.88</v>
      </c>
      <c r="H193" s="47">
        <f>H112+H140+H169+H192</f>
        <v>150774.26999999999</v>
      </c>
      <c r="I193" s="47">
        <f>I112+I140+I169+I192</f>
        <v>0</v>
      </c>
      <c r="J193" s="47">
        <f>J112+J140+J192</f>
        <v>26.69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3128718.23</v>
      </c>
      <c r="G197" s="18">
        <v>1272058.92</v>
      </c>
      <c r="H197" s="18">
        <v>8752.23</v>
      </c>
      <c r="I197" s="18">
        <v>85844.3</v>
      </c>
      <c r="J197" s="18">
        <v>8648.64</v>
      </c>
      <c r="K197" s="18"/>
      <c r="L197" s="19">
        <f>SUM(F197:K197)</f>
        <v>4504022.32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662260.51</v>
      </c>
      <c r="G198" s="18">
        <v>272586.69</v>
      </c>
      <c r="H198" s="18">
        <v>71676.77</v>
      </c>
      <c r="I198" s="18">
        <v>2138.13</v>
      </c>
      <c r="J198" s="18">
        <v>3512</v>
      </c>
      <c r="K198" s="18"/>
      <c r="L198" s="19">
        <f>SUM(F198:K198)</f>
        <v>1012174.1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67170</v>
      </c>
      <c r="G200" s="18">
        <v>5157.53</v>
      </c>
      <c r="H200" s="18">
        <v>44840.77</v>
      </c>
      <c r="I200" s="18">
        <v>1159.8</v>
      </c>
      <c r="J200" s="18"/>
      <c r="K200" s="18"/>
      <c r="L200" s="19">
        <f>SUM(F200:K200)</f>
        <v>118328.09999999999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451300.24</v>
      </c>
      <c r="G202" s="18">
        <v>183455.45</v>
      </c>
      <c r="H202" s="18">
        <v>26653.49</v>
      </c>
      <c r="I202" s="18">
        <v>5014.33</v>
      </c>
      <c r="J202" s="18">
        <v>107</v>
      </c>
      <c r="K202" s="18"/>
      <c r="L202" s="19">
        <f t="shared" ref="L202:L208" si="0">SUM(F202:K202)</f>
        <v>666530.50999999989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284677.03999999998</v>
      </c>
      <c r="G203" s="18">
        <v>146344.41</v>
      </c>
      <c r="H203" s="18">
        <v>18922.330000000002</v>
      </c>
      <c r="I203" s="18">
        <v>26634.43</v>
      </c>
      <c r="J203" s="18">
        <v>59282.23</v>
      </c>
      <c r="K203" s="18">
        <v>3550</v>
      </c>
      <c r="L203" s="19">
        <f t="shared" si="0"/>
        <v>539410.43999999994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7920</v>
      </c>
      <c r="G204" s="18">
        <v>608.12</v>
      </c>
      <c r="H204" s="18">
        <v>534886.88</v>
      </c>
      <c r="I204" s="18">
        <v>1254.3399999999999</v>
      </c>
      <c r="J204" s="18"/>
      <c r="K204" s="18">
        <v>10315.299999999999</v>
      </c>
      <c r="L204" s="19">
        <f t="shared" si="0"/>
        <v>554984.64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322533.25</v>
      </c>
      <c r="G205" s="18">
        <v>133233.28</v>
      </c>
      <c r="H205" s="18">
        <v>9421.7900000000009</v>
      </c>
      <c r="I205" s="18">
        <v>2259.8000000000002</v>
      </c>
      <c r="J205" s="18">
        <v>2199.9899999999998</v>
      </c>
      <c r="K205" s="18">
        <v>632.97</v>
      </c>
      <c r="L205" s="19">
        <f t="shared" si="0"/>
        <v>470281.07999999996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8294.6299999999992</v>
      </c>
      <c r="L206" s="19">
        <f t="shared" si="0"/>
        <v>8294.6299999999992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297721.12</v>
      </c>
      <c r="G207" s="18">
        <v>121024.89</v>
      </c>
      <c r="H207" s="18">
        <v>153716.29</v>
      </c>
      <c r="I207" s="18">
        <v>251870.34</v>
      </c>
      <c r="J207" s="18">
        <v>3975.61</v>
      </c>
      <c r="K207" s="18"/>
      <c r="L207" s="19">
        <f t="shared" si="0"/>
        <v>828308.25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255951.86</v>
      </c>
      <c r="I208" s="18"/>
      <c r="J208" s="18"/>
      <c r="K208" s="18"/>
      <c r="L208" s="19">
        <f t="shared" si="0"/>
        <v>255951.86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3754.5</v>
      </c>
      <c r="H209" s="18">
        <v>12316.63</v>
      </c>
      <c r="I209" s="18">
        <v>119.85</v>
      </c>
      <c r="J209" s="18">
        <v>2794.77</v>
      </c>
      <c r="K209" s="18"/>
      <c r="L209" s="19">
        <f>SUM(F209:K209)</f>
        <v>18985.75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5222300.3900000006</v>
      </c>
      <c r="G211" s="41">
        <f t="shared" si="1"/>
        <v>2138223.79</v>
      </c>
      <c r="H211" s="41">
        <f t="shared" si="1"/>
        <v>1137139.04</v>
      </c>
      <c r="I211" s="41">
        <f t="shared" si="1"/>
        <v>376295.32</v>
      </c>
      <c r="J211" s="41">
        <f t="shared" si="1"/>
        <v>80520.240000000005</v>
      </c>
      <c r="K211" s="41">
        <f t="shared" si="1"/>
        <v>22792.899999999998</v>
      </c>
      <c r="L211" s="41">
        <f t="shared" si="1"/>
        <v>8977271.6799999978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3000050.61</v>
      </c>
      <c r="I233" s="18"/>
      <c r="J233" s="18"/>
      <c r="K233" s="18"/>
      <c r="L233" s="19">
        <f>SUM(F233:K233)</f>
        <v>3000050.61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107403</v>
      </c>
      <c r="I234" s="18"/>
      <c r="J234" s="18">
        <v>241.5</v>
      </c>
      <c r="K234" s="18"/>
      <c r="L234" s="19">
        <f>SUM(F234:K234)</f>
        <v>107644.5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9649.07</v>
      </c>
      <c r="I236" s="18"/>
      <c r="J236" s="18"/>
      <c r="K236" s="18"/>
      <c r="L236" s="19">
        <f>SUM(F236:K236)</f>
        <v>9649.07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880</v>
      </c>
      <c r="G240" s="18">
        <v>67.569999999999993</v>
      </c>
      <c r="H240" s="18">
        <v>59431.87</v>
      </c>
      <c r="I240" s="18">
        <v>139.37</v>
      </c>
      <c r="J240" s="18">
        <v>1146.1500000000001</v>
      </c>
      <c r="K240" s="18"/>
      <c r="L240" s="19">
        <f t="shared" si="4"/>
        <v>61664.960000000006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63846.12</v>
      </c>
      <c r="I244" s="18"/>
      <c r="J244" s="18"/>
      <c r="K244" s="18"/>
      <c r="L244" s="19">
        <f t="shared" si="4"/>
        <v>63846.12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880</v>
      </c>
      <c r="G247" s="41">
        <f t="shared" si="5"/>
        <v>67.569999999999993</v>
      </c>
      <c r="H247" s="41">
        <f t="shared" si="5"/>
        <v>3240380.67</v>
      </c>
      <c r="I247" s="41">
        <f t="shared" si="5"/>
        <v>139.37</v>
      </c>
      <c r="J247" s="41">
        <f t="shared" si="5"/>
        <v>1387.65</v>
      </c>
      <c r="K247" s="41">
        <f t="shared" si="5"/>
        <v>0</v>
      </c>
      <c r="L247" s="41">
        <f t="shared" si="5"/>
        <v>3242855.26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78208.2</v>
      </c>
      <c r="I255" s="18"/>
      <c r="J255" s="18">
        <v>10000</v>
      </c>
      <c r="K255" s="18"/>
      <c r="L255" s="19">
        <f t="shared" si="6"/>
        <v>88208.2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78208.2</v>
      </c>
      <c r="I256" s="41">
        <f t="shared" si="7"/>
        <v>0</v>
      </c>
      <c r="J256" s="41">
        <f t="shared" si="7"/>
        <v>10000</v>
      </c>
      <c r="K256" s="41">
        <f t="shared" si="7"/>
        <v>0</v>
      </c>
      <c r="L256" s="41">
        <f>SUM(F256:K256)</f>
        <v>88208.2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5223180.3900000006</v>
      </c>
      <c r="G257" s="41">
        <f t="shared" si="8"/>
        <v>2138291.36</v>
      </c>
      <c r="H257" s="41">
        <f t="shared" si="8"/>
        <v>4455727.91</v>
      </c>
      <c r="I257" s="41">
        <f t="shared" si="8"/>
        <v>376434.69</v>
      </c>
      <c r="J257" s="41">
        <f t="shared" si="8"/>
        <v>91907.89</v>
      </c>
      <c r="K257" s="41">
        <f t="shared" si="8"/>
        <v>22792.899999999998</v>
      </c>
      <c r="L257" s="41">
        <f t="shared" si="8"/>
        <v>12308335.139999997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280000</v>
      </c>
      <c r="L260" s="19">
        <f>SUM(F260:K260)</f>
        <v>280000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46200</v>
      </c>
      <c r="L261" s="19">
        <f>SUM(F261:K261)</f>
        <v>46200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22478.34</v>
      </c>
      <c r="L263" s="19">
        <f>SUM(F263:K263)</f>
        <v>22478.34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2066.17</v>
      </c>
      <c r="L264" s="19">
        <f t="shared" ref="L264:L270" si="9">SUM(F264:K264)</f>
        <v>2066.17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350744.51</v>
      </c>
      <c r="L270" s="41">
        <f t="shared" si="9"/>
        <v>350744.51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5223180.3900000006</v>
      </c>
      <c r="G271" s="42">
        <f t="shared" si="11"/>
        <v>2138291.36</v>
      </c>
      <c r="H271" s="42">
        <f t="shared" si="11"/>
        <v>4455727.91</v>
      </c>
      <c r="I271" s="42">
        <f t="shared" si="11"/>
        <v>376434.69</v>
      </c>
      <c r="J271" s="42">
        <f t="shared" si="11"/>
        <v>91907.89</v>
      </c>
      <c r="K271" s="42">
        <f t="shared" si="11"/>
        <v>373537.41000000003</v>
      </c>
      <c r="L271" s="42">
        <f t="shared" si="11"/>
        <v>12659079.649999997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22992</v>
      </c>
      <c r="G276" s="18">
        <v>2000.53</v>
      </c>
      <c r="H276" s="18">
        <v>2890</v>
      </c>
      <c r="I276" s="18">
        <v>1713.32</v>
      </c>
      <c r="J276" s="18">
        <v>15361.24</v>
      </c>
      <c r="K276" s="18">
        <v>50</v>
      </c>
      <c r="L276" s="19">
        <f>SUM(F276:K276)</f>
        <v>45007.09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20725</v>
      </c>
      <c r="G279" s="18"/>
      <c r="H279" s="18">
        <v>11006</v>
      </c>
      <c r="I279" s="18">
        <v>937.59</v>
      </c>
      <c r="J279" s="18">
        <v>599.13</v>
      </c>
      <c r="K279" s="18"/>
      <c r="L279" s="19">
        <f>SUM(F279:K279)</f>
        <v>33267.72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1345.56</v>
      </c>
      <c r="H282" s="18">
        <v>2753.05</v>
      </c>
      <c r="I282" s="18">
        <v>2603.65</v>
      </c>
      <c r="J282" s="18">
        <v>53076.69</v>
      </c>
      <c r="K282" s="18"/>
      <c r="L282" s="19">
        <f t="shared" si="12"/>
        <v>59778.950000000004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5066.22</v>
      </c>
      <c r="L283" s="19">
        <f t="shared" si="12"/>
        <v>5066.22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>
        <v>29.4</v>
      </c>
      <c r="I284" s="18"/>
      <c r="J284" s="18"/>
      <c r="K284" s="18"/>
      <c r="L284" s="19">
        <f t="shared" si="12"/>
        <v>29.4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397.06</v>
      </c>
      <c r="L285" s="19">
        <f t="shared" si="12"/>
        <v>397.06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285</v>
      </c>
      <c r="I287" s="18"/>
      <c r="J287" s="18"/>
      <c r="K287" s="18"/>
      <c r="L287" s="19">
        <f t="shared" si="12"/>
        <v>285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3184.75</v>
      </c>
      <c r="I288" s="18"/>
      <c r="J288" s="18"/>
      <c r="K288" s="18"/>
      <c r="L288" s="19">
        <f>SUM(F288:K288)</f>
        <v>3184.75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43717</v>
      </c>
      <c r="G290" s="42">
        <f t="shared" si="13"/>
        <v>3346.09</v>
      </c>
      <c r="H290" s="42">
        <f t="shared" si="13"/>
        <v>20148.2</v>
      </c>
      <c r="I290" s="42">
        <f t="shared" si="13"/>
        <v>5254.5599999999995</v>
      </c>
      <c r="J290" s="42">
        <f t="shared" si="13"/>
        <v>69037.06</v>
      </c>
      <c r="K290" s="42">
        <f t="shared" si="13"/>
        <v>5513.2800000000007</v>
      </c>
      <c r="L290" s="41">
        <f t="shared" si="13"/>
        <v>147016.19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9040.7199999999993</v>
      </c>
      <c r="I336" s="18"/>
      <c r="J336" s="18"/>
      <c r="K336" s="18"/>
      <c r="L336" s="19">
        <f t="shared" si="18"/>
        <v>9040.7199999999993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9040.7199999999993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9040.7199999999993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43717</v>
      </c>
      <c r="G338" s="41">
        <f t="shared" si="20"/>
        <v>3346.09</v>
      </c>
      <c r="H338" s="41">
        <f t="shared" si="20"/>
        <v>29188.92</v>
      </c>
      <c r="I338" s="41">
        <f t="shared" si="20"/>
        <v>5254.5599999999995</v>
      </c>
      <c r="J338" s="41">
        <f t="shared" si="20"/>
        <v>69037.06</v>
      </c>
      <c r="K338" s="41">
        <f t="shared" si="20"/>
        <v>5513.2800000000007</v>
      </c>
      <c r="L338" s="41">
        <f t="shared" si="20"/>
        <v>156056.91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515.35</v>
      </c>
      <c r="L344" s="19">
        <f t="shared" ref="L344:L350" si="21">SUM(F344:K344)</f>
        <v>515.35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515.35</v>
      </c>
      <c r="L351" s="41">
        <f>SUM(L341:L350)</f>
        <v>515.35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43717</v>
      </c>
      <c r="G352" s="41">
        <f>G338</f>
        <v>3346.09</v>
      </c>
      <c r="H352" s="41">
        <f>H338</f>
        <v>29188.92</v>
      </c>
      <c r="I352" s="41">
        <f>I338</f>
        <v>5254.5599999999995</v>
      </c>
      <c r="J352" s="41">
        <f>J338</f>
        <v>69037.06</v>
      </c>
      <c r="K352" s="47">
        <f>K338+K351</f>
        <v>6028.630000000001</v>
      </c>
      <c r="L352" s="41">
        <f>L338+L351</f>
        <v>156572.26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80515.06</v>
      </c>
      <c r="G358" s="18">
        <v>32730.12</v>
      </c>
      <c r="H358" s="18">
        <v>4848.96</v>
      </c>
      <c r="I358" s="18">
        <v>63909.74</v>
      </c>
      <c r="J358" s="18">
        <v>2679</v>
      </c>
      <c r="K358" s="18"/>
      <c r="L358" s="13">
        <f>SUM(F358:K358)</f>
        <v>184682.88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80515.06</v>
      </c>
      <c r="G362" s="47">
        <f t="shared" si="22"/>
        <v>32730.12</v>
      </c>
      <c r="H362" s="47">
        <f t="shared" si="22"/>
        <v>4848.96</v>
      </c>
      <c r="I362" s="47">
        <f t="shared" si="22"/>
        <v>63909.74</v>
      </c>
      <c r="J362" s="47">
        <f t="shared" si="22"/>
        <v>2679</v>
      </c>
      <c r="K362" s="47">
        <f t="shared" si="22"/>
        <v>0</v>
      </c>
      <c r="L362" s="47">
        <f t="shared" si="22"/>
        <v>184682.88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6268.32</v>
      </c>
      <c r="G367" s="18"/>
      <c r="H367" s="18"/>
      <c r="I367" s="56">
        <f>SUM(F367:H367)</f>
        <v>6268.32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57641.42</v>
      </c>
      <c r="G368" s="63"/>
      <c r="H368" s="63"/>
      <c r="I368" s="56">
        <f>SUM(F368:H368)</f>
        <v>57641.42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63909.74</v>
      </c>
      <c r="G369" s="47">
        <f>SUM(G367:G368)</f>
        <v>0</v>
      </c>
      <c r="H369" s="47">
        <f>SUM(H367:H368)</f>
        <v>0</v>
      </c>
      <c r="I369" s="47">
        <f>SUM(I367:I368)</f>
        <v>63909.74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15.26</v>
      </c>
      <c r="I389" s="18"/>
      <c r="J389" s="24" t="s">
        <v>289</v>
      </c>
      <c r="K389" s="24" t="s">
        <v>289</v>
      </c>
      <c r="L389" s="56">
        <f t="shared" si="25"/>
        <v>15.26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15.26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15.26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11.43</v>
      </c>
      <c r="I397" s="18"/>
      <c r="J397" s="24" t="s">
        <v>289</v>
      </c>
      <c r="K397" s="24" t="s">
        <v>289</v>
      </c>
      <c r="L397" s="56">
        <f t="shared" si="26"/>
        <v>11.43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11.43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11.43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26.689999999999998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26.689999999999998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283020.46999999997</v>
      </c>
      <c r="H440" s="18"/>
      <c r="I440" s="56">
        <f t="shared" si="33"/>
        <v>283020.46999999997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283020.46999999997</v>
      </c>
      <c r="H446" s="13">
        <f>SUM(H439:H445)</f>
        <v>0</v>
      </c>
      <c r="I446" s="13">
        <f>SUM(I439:I445)</f>
        <v>283020.46999999997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283020.46999999997</v>
      </c>
      <c r="H459" s="18"/>
      <c r="I459" s="56">
        <f t="shared" si="34"/>
        <v>283020.46999999997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283020.46999999997</v>
      </c>
      <c r="H460" s="83">
        <f>SUM(H454:H459)</f>
        <v>0</v>
      </c>
      <c r="I460" s="83">
        <f>SUM(I454:I459)</f>
        <v>283020.46999999997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283020.46999999997</v>
      </c>
      <c r="H461" s="42">
        <f>H452+H460</f>
        <v>0</v>
      </c>
      <c r="I461" s="42">
        <f>I452+I460</f>
        <v>283020.46999999997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708524.11</v>
      </c>
      <c r="G465" s="18">
        <v>461.38</v>
      </c>
      <c r="H465" s="18">
        <v>10961.84</v>
      </c>
      <c r="I465" s="18"/>
      <c r="J465" s="18">
        <v>282993.78000000003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12403877.539999999</v>
      </c>
      <c r="G468" s="18">
        <v>184682.88</v>
      </c>
      <c r="H468" s="18">
        <v>150774.26999999999</v>
      </c>
      <c r="I468" s="18"/>
      <c r="J468" s="18">
        <v>26.69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168.31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12403877.539999999</v>
      </c>
      <c r="G470" s="53">
        <f>SUM(G468:G469)</f>
        <v>184851.19</v>
      </c>
      <c r="H470" s="53">
        <f>SUM(H468:H469)</f>
        <v>150774.26999999999</v>
      </c>
      <c r="I470" s="53">
        <f>SUM(I468:I469)</f>
        <v>0</v>
      </c>
      <c r="J470" s="53">
        <f>SUM(J468:J469)</f>
        <v>26.69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12659079.65</v>
      </c>
      <c r="G472" s="18">
        <v>184682.88</v>
      </c>
      <c r="H472" s="18">
        <v>156572.26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12659079.65</v>
      </c>
      <c r="G474" s="53">
        <f>SUM(G472:G473)</f>
        <v>184682.88</v>
      </c>
      <c r="H474" s="53">
        <f>SUM(H472:H473)</f>
        <v>156572.26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453321.99999999814</v>
      </c>
      <c r="G476" s="53">
        <f>(G465+G470)- G474</f>
        <v>629.69000000000233</v>
      </c>
      <c r="H476" s="53">
        <f>(H465+H470)- H474</f>
        <v>5163.8499999999767</v>
      </c>
      <c r="I476" s="53">
        <f>(I465+I470)- I474</f>
        <v>0</v>
      </c>
      <c r="J476" s="53">
        <f>(J465+J470)- J474</f>
        <v>283020.47000000003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8844720.8000000007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840000</v>
      </c>
      <c r="G495" s="18"/>
      <c r="H495" s="18"/>
      <c r="I495" s="18"/>
      <c r="J495" s="18"/>
      <c r="K495" s="53">
        <f>SUM(F495:J495)</f>
        <v>840000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280000</v>
      </c>
      <c r="G497" s="18"/>
      <c r="H497" s="18"/>
      <c r="I497" s="18"/>
      <c r="J497" s="18"/>
      <c r="K497" s="53">
        <f t="shared" si="35"/>
        <v>280000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560000</v>
      </c>
      <c r="G498" s="204"/>
      <c r="H498" s="204"/>
      <c r="I498" s="204"/>
      <c r="J498" s="204"/>
      <c r="K498" s="205">
        <f t="shared" si="35"/>
        <v>560000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46200</v>
      </c>
      <c r="G499" s="18"/>
      <c r="H499" s="18"/>
      <c r="I499" s="18"/>
      <c r="J499" s="18"/>
      <c r="K499" s="53">
        <f t="shared" si="35"/>
        <v>46200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606200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606200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280000</v>
      </c>
      <c r="G501" s="204"/>
      <c r="H501" s="204"/>
      <c r="I501" s="204"/>
      <c r="J501" s="204"/>
      <c r="K501" s="205">
        <f t="shared" si="35"/>
        <v>280000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30800</v>
      </c>
      <c r="G502" s="18"/>
      <c r="H502" s="18"/>
      <c r="I502" s="18"/>
      <c r="J502" s="18"/>
      <c r="K502" s="53">
        <f t="shared" si="35"/>
        <v>30800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310800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310800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623351.67000000004</v>
      </c>
      <c r="G521" s="18">
        <v>261681.63</v>
      </c>
      <c r="H521" s="18">
        <v>75846.89</v>
      </c>
      <c r="I521" s="18">
        <v>2138.13</v>
      </c>
      <c r="J521" s="18">
        <v>3753.5</v>
      </c>
      <c r="K521" s="18"/>
      <c r="L521" s="88">
        <f>SUM(F521:K521)</f>
        <v>966771.82000000007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28294.34</v>
      </c>
      <c r="G523" s="18">
        <v>11934.72</v>
      </c>
      <c r="H523" s="18">
        <v>113823.07</v>
      </c>
      <c r="I523" s="18"/>
      <c r="J523" s="18"/>
      <c r="K523" s="18"/>
      <c r="L523" s="88">
        <f>SUM(F523:K523)</f>
        <v>154052.13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651646.01</v>
      </c>
      <c r="G524" s="108">
        <f t="shared" ref="G524:L524" si="36">SUM(G521:G523)</f>
        <v>273616.34999999998</v>
      </c>
      <c r="H524" s="108">
        <f t="shared" si="36"/>
        <v>189669.96000000002</v>
      </c>
      <c r="I524" s="108">
        <f t="shared" si="36"/>
        <v>2138.13</v>
      </c>
      <c r="J524" s="108">
        <f t="shared" si="36"/>
        <v>3753.5</v>
      </c>
      <c r="K524" s="108">
        <f t="shared" si="36"/>
        <v>0</v>
      </c>
      <c r="L524" s="89">
        <f t="shared" si="36"/>
        <v>1120823.9500000002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202973</v>
      </c>
      <c r="G526" s="18">
        <v>83439.31</v>
      </c>
      <c r="H526" s="18">
        <v>18986.18</v>
      </c>
      <c r="I526" s="18">
        <v>3662.78</v>
      </c>
      <c r="J526" s="18"/>
      <c r="K526" s="18"/>
      <c r="L526" s="88">
        <f>SUM(F526:K526)</f>
        <v>309061.27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202973</v>
      </c>
      <c r="G529" s="89">
        <f t="shared" ref="G529:L529" si="37">SUM(G526:G528)</f>
        <v>83439.31</v>
      </c>
      <c r="H529" s="89">
        <f t="shared" si="37"/>
        <v>18986.18</v>
      </c>
      <c r="I529" s="89">
        <f t="shared" si="37"/>
        <v>3662.78</v>
      </c>
      <c r="J529" s="89">
        <f t="shared" si="37"/>
        <v>0</v>
      </c>
      <c r="K529" s="89">
        <f t="shared" si="37"/>
        <v>0</v>
      </c>
      <c r="L529" s="89">
        <f t="shared" si="37"/>
        <v>309061.27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33729.07</v>
      </c>
      <c r="G531" s="18">
        <v>14184.23</v>
      </c>
      <c r="H531" s="18">
        <v>2833.19</v>
      </c>
      <c r="I531" s="18">
        <v>945.02</v>
      </c>
      <c r="J531" s="18">
        <v>440.47</v>
      </c>
      <c r="K531" s="18">
        <v>566.99</v>
      </c>
      <c r="L531" s="88">
        <f>SUM(F531:K531)</f>
        <v>52698.97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14455.32</v>
      </c>
      <c r="G533" s="18">
        <v>6078.96</v>
      </c>
      <c r="H533" s="18">
        <v>1214.22</v>
      </c>
      <c r="I533" s="18">
        <v>405.01</v>
      </c>
      <c r="J533" s="18">
        <v>188.77</v>
      </c>
      <c r="K533" s="18">
        <v>242.99</v>
      </c>
      <c r="L533" s="88">
        <f>SUM(F533:K533)</f>
        <v>22585.27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48184.39</v>
      </c>
      <c r="G534" s="89">
        <f t="shared" ref="G534:L534" si="38">SUM(G531:G533)</f>
        <v>20263.189999999999</v>
      </c>
      <c r="H534" s="89">
        <f t="shared" si="38"/>
        <v>4047.41</v>
      </c>
      <c r="I534" s="89">
        <f t="shared" si="38"/>
        <v>1350.03</v>
      </c>
      <c r="J534" s="89">
        <f t="shared" si="38"/>
        <v>629.24</v>
      </c>
      <c r="K534" s="89">
        <f t="shared" si="38"/>
        <v>809.98</v>
      </c>
      <c r="L534" s="89">
        <f t="shared" si="38"/>
        <v>75284.240000000005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651.6</v>
      </c>
      <c r="I536" s="18"/>
      <c r="J536" s="18"/>
      <c r="K536" s="18"/>
      <c r="L536" s="88">
        <f>SUM(F536:K536)</f>
        <v>651.6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3229</v>
      </c>
      <c r="I538" s="18"/>
      <c r="J538" s="18"/>
      <c r="K538" s="18"/>
      <c r="L538" s="88">
        <f>SUM(F538:K538)</f>
        <v>3229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3880.6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3880.6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17176.82</v>
      </c>
      <c r="I541" s="18"/>
      <c r="J541" s="18"/>
      <c r="K541" s="18"/>
      <c r="L541" s="88">
        <f>SUM(F541:K541)</f>
        <v>17176.82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24759.57</v>
      </c>
      <c r="I543" s="18"/>
      <c r="J543" s="18"/>
      <c r="K543" s="18"/>
      <c r="L543" s="88">
        <f>SUM(F543:K543)</f>
        <v>24759.57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41936.39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41936.39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902803.4</v>
      </c>
      <c r="G545" s="89">
        <f t="shared" ref="G545:L545" si="41">G524+G529+G534+G539+G544</f>
        <v>377318.85</v>
      </c>
      <c r="H545" s="89">
        <f t="shared" si="41"/>
        <v>258520.54000000004</v>
      </c>
      <c r="I545" s="89">
        <f t="shared" si="41"/>
        <v>7150.94</v>
      </c>
      <c r="J545" s="89">
        <f t="shared" si="41"/>
        <v>4382.74</v>
      </c>
      <c r="K545" s="89">
        <f t="shared" si="41"/>
        <v>809.98</v>
      </c>
      <c r="L545" s="89">
        <f t="shared" si="41"/>
        <v>1550986.4500000002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966771.82000000007</v>
      </c>
      <c r="G549" s="87">
        <f>L526</f>
        <v>309061.27</v>
      </c>
      <c r="H549" s="87">
        <f>L531</f>
        <v>52698.97</v>
      </c>
      <c r="I549" s="87">
        <f>L536</f>
        <v>651.6</v>
      </c>
      <c r="J549" s="87">
        <f>L541</f>
        <v>17176.82</v>
      </c>
      <c r="K549" s="87">
        <f>SUM(F549:J549)</f>
        <v>1346360.4800000002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154052.13</v>
      </c>
      <c r="G551" s="87">
        <f>L528</f>
        <v>0</v>
      </c>
      <c r="H551" s="87">
        <f>L533</f>
        <v>22585.27</v>
      </c>
      <c r="I551" s="87">
        <f>L538</f>
        <v>3229</v>
      </c>
      <c r="J551" s="87">
        <f>L543</f>
        <v>24759.57</v>
      </c>
      <c r="K551" s="87">
        <f>SUM(F551:J551)</f>
        <v>204625.97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1120823.9500000002</v>
      </c>
      <c r="G552" s="89">
        <f t="shared" si="42"/>
        <v>309061.27</v>
      </c>
      <c r="H552" s="89">
        <f t="shared" si="42"/>
        <v>75284.240000000005</v>
      </c>
      <c r="I552" s="89">
        <f t="shared" si="42"/>
        <v>3880.6</v>
      </c>
      <c r="J552" s="89">
        <f t="shared" si="42"/>
        <v>41936.39</v>
      </c>
      <c r="K552" s="89">
        <f t="shared" si="42"/>
        <v>1550986.4500000002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24024.5</v>
      </c>
      <c r="G562" s="18">
        <v>9764.31</v>
      </c>
      <c r="H562" s="18"/>
      <c r="I562" s="18"/>
      <c r="J562" s="18"/>
      <c r="K562" s="18"/>
      <c r="L562" s="88">
        <f>SUM(F562:K562)</f>
        <v>33788.81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24024.5</v>
      </c>
      <c r="G565" s="89">
        <f t="shared" si="44"/>
        <v>9764.31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33788.81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24024.5</v>
      </c>
      <c r="G571" s="89">
        <f t="shared" ref="G571:L571" si="46">G560+G565+G570</f>
        <v>9764.31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33788.81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3000050.61</v>
      </c>
      <c r="I575" s="87">
        <f>SUM(F575:H575)</f>
        <v>3000050.61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2400.73</v>
      </c>
      <c r="G579" s="18"/>
      <c r="H579" s="18">
        <v>57847.1</v>
      </c>
      <c r="I579" s="87">
        <f t="shared" si="47"/>
        <v>60247.83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23350</v>
      </c>
      <c r="G582" s="18"/>
      <c r="H582" s="18">
        <v>57793.47</v>
      </c>
      <c r="I582" s="87">
        <f t="shared" si="47"/>
        <v>81143.47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221490.45</v>
      </c>
      <c r="I591" s="18"/>
      <c r="J591" s="18">
        <v>39086.550000000003</v>
      </c>
      <c r="K591" s="104">
        <f t="shared" ref="K591:K597" si="48">SUM(H591:J591)</f>
        <v>260577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17176.82</v>
      </c>
      <c r="I592" s="18"/>
      <c r="J592" s="18">
        <v>24759.57</v>
      </c>
      <c r="K592" s="104">
        <f t="shared" si="48"/>
        <v>41936.39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5762.3</v>
      </c>
      <c r="I594" s="18"/>
      <c r="J594" s="18"/>
      <c r="K594" s="104">
        <f t="shared" si="48"/>
        <v>5762.3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11522.29</v>
      </c>
      <c r="I595" s="18"/>
      <c r="J595" s="18"/>
      <c r="K595" s="104">
        <f t="shared" si="48"/>
        <v>11522.29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255951.86000000002</v>
      </c>
      <c r="I598" s="108">
        <f>SUM(I591:I597)</f>
        <v>0</v>
      </c>
      <c r="J598" s="108">
        <f>SUM(J591:J597)</f>
        <v>63846.12</v>
      </c>
      <c r="K598" s="108">
        <f>SUM(K591:K597)</f>
        <v>319797.98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150944.95000000001</v>
      </c>
      <c r="I604" s="18"/>
      <c r="J604" s="18"/>
      <c r="K604" s="104">
        <f>SUM(H604:J604)</f>
        <v>150944.95000000001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150944.95000000001</v>
      </c>
      <c r="I605" s="108">
        <f>SUM(I602:I604)</f>
        <v>0</v>
      </c>
      <c r="J605" s="108">
        <f>SUM(J602:J604)</f>
        <v>0</v>
      </c>
      <c r="K605" s="108">
        <f>SUM(K602:K604)</f>
        <v>150944.95000000001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13410</v>
      </c>
      <c r="G611" s="18">
        <v>1029.6500000000001</v>
      </c>
      <c r="H611" s="18">
        <v>4821.82</v>
      </c>
      <c r="I611" s="18"/>
      <c r="J611" s="18"/>
      <c r="K611" s="18"/>
      <c r="L611" s="88">
        <f>SUM(F611:K611)</f>
        <v>19261.47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9649.07</v>
      </c>
      <c r="I613" s="18"/>
      <c r="J613" s="18"/>
      <c r="K613" s="18"/>
      <c r="L613" s="88">
        <f>SUM(F613:K613)</f>
        <v>9649.07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13410</v>
      </c>
      <c r="G614" s="108">
        <f t="shared" si="49"/>
        <v>1029.6500000000001</v>
      </c>
      <c r="H614" s="108">
        <f t="shared" si="49"/>
        <v>14470.89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28910.54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526842.18999999994</v>
      </c>
      <c r="H617" s="109">
        <f>SUM(F52)</f>
        <v>526842.18999999994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2401.27</v>
      </c>
      <c r="H618" s="109">
        <f>SUM(G52)</f>
        <v>2401.27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36507.199999999997</v>
      </c>
      <c r="H619" s="109">
        <f>SUM(H52)</f>
        <v>36507.200000000004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283020.46999999997</v>
      </c>
      <c r="H621" s="109">
        <f>SUM(J52)</f>
        <v>283020.46999999997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453322</v>
      </c>
      <c r="H622" s="109">
        <f>F476</f>
        <v>453321.99999999814</v>
      </c>
      <c r="I622" s="121" t="s">
        <v>101</v>
      </c>
      <c r="J622" s="109">
        <f t="shared" ref="J622:J655" si="50">G622-H622</f>
        <v>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629.69000000000005</v>
      </c>
      <c r="H623" s="109">
        <f>G476</f>
        <v>629.69000000000233</v>
      </c>
      <c r="I623" s="121" t="s">
        <v>102</v>
      </c>
      <c r="J623" s="109">
        <f t="shared" si="50"/>
        <v>-2.2737367544323206E-12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5163.8500000000004</v>
      </c>
      <c r="H624" s="109">
        <f>H476</f>
        <v>5163.8499999999767</v>
      </c>
      <c r="I624" s="121" t="s">
        <v>103</v>
      </c>
      <c r="J624" s="109">
        <f t="shared" si="50"/>
        <v>2.3646862246096134E-11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283020.46999999997</v>
      </c>
      <c r="H626" s="109">
        <f>J476</f>
        <v>283020.47000000003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12403877.539999999</v>
      </c>
      <c r="H627" s="104">
        <f>SUM(F468)</f>
        <v>12403877.539999999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184682.88</v>
      </c>
      <c r="H628" s="104">
        <f>SUM(G468)</f>
        <v>184682.88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150774.26999999999</v>
      </c>
      <c r="H629" s="104">
        <f>SUM(H468)</f>
        <v>150774.26999999999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26.69</v>
      </c>
      <c r="H631" s="104">
        <f>SUM(J468)</f>
        <v>26.69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12659079.649999997</v>
      </c>
      <c r="H632" s="104">
        <f>SUM(F472)</f>
        <v>12659079.65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156572.26</v>
      </c>
      <c r="H633" s="104">
        <f>SUM(H472)</f>
        <v>156572.26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63909.74</v>
      </c>
      <c r="H634" s="104">
        <f>I369</f>
        <v>63909.74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184682.88</v>
      </c>
      <c r="H635" s="104">
        <f>SUM(G472)</f>
        <v>184682.88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26.689999999999998</v>
      </c>
      <c r="H637" s="164">
        <f>SUM(J468)</f>
        <v>26.69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283020.46999999997</v>
      </c>
      <c r="H640" s="104">
        <f>SUM(G461)</f>
        <v>283020.46999999997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283020.46999999997</v>
      </c>
      <c r="H642" s="104">
        <f>SUM(I461)</f>
        <v>283020.46999999997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26.69</v>
      </c>
      <c r="H644" s="104">
        <f>H408</f>
        <v>26.689999999999998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26.69</v>
      </c>
      <c r="H646" s="104">
        <f>L408</f>
        <v>26.689999999999998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319797.98</v>
      </c>
      <c r="H647" s="104">
        <f>L208+L226+L244</f>
        <v>319797.98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150944.95000000001</v>
      </c>
      <c r="H648" s="104">
        <f>(J257+J338)-(J255+J336)</f>
        <v>150944.95000000001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255951.86</v>
      </c>
      <c r="H649" s="104">
        <f>H598</f>
        <v>255951.86000000002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63846.12</v>
      </c>
      <c r="H651" s="104">
        <f>J598</f>
        <v>63846.12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22478.34</v>
      </c>
      <c r="H652" s="104">
        <f>K263+K345</f>
        <v>22478.34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2066.17</v>
      </c>
      <c r="H653" s="104">
        <f>K264</f>
        <v>2066.17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9308970.7499999981</v>
      </c>
      <c r="G660" s="19">
        <f>(L229+L309+L359)</f>
        <v>0</v>
      </c>
      <c r="H660" s="19">
        <f>(L247+L328+L360)</f>
        <v>3242855.26</v>
      </c>
      <c r="I660" s="19">
        <f>SUM(F660:H660)</f>
        <v>12551826.009999998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135743.44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135743.44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256236.86</v>
      </c>
      <c r="G662" s="19">
        <f>(L226+L306)-(J226+J306)</f>
        <v>0</v>
      </c>
      <c r="H662" s="19">
        <f>(L244+L325)-(J244+J325)</f>
        <v>63846.12</v>
      </c>
      <c r="I662" s="19">
        <f>SUM(F662:H662)</f>
        <v>320082.98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195957.15000000002</v>
      </c>
      <c r="G663" s="199">
        <f>SUM(G575:G587)+SUM(I602:I604)+L612</f>
        <v>0</v>
      </c>
      <c r="H663" s="199">
        <f>SUM(H575:H587)+SUM(J602:J604)+L613</f>
        <v>3125340.25</v>
      </c>
      <c r="I663" s="19">
        <f>SUM(F663:H663)</f>
        <v>3321297.4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8721033.2999999989</v>
      </c>
      <c r="G664" s="19">
        <f>G660-SUM(G661:G663)</f>
        <v>0</v>
      </c>
      <c r="H664" s="19">
        <f>H660-SUM(H661:H663)</f>
        <v>53668.889999999665</v>
      </c>
      <c r="I664" s="19">
        <f>I660-SUM(I661:I663)</f>
        <v>8774702.1899999976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463.04</v>
      </c>
      <c r="G665" s="248"/>
      <c r="H665" s="248"/>
      <c r="I665" s="19">
        <f>SUM(F665:H665)</f>
        <v>463.04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18834.3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18950.2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-53668.89</v>
      </c>
      <c r="I669" s="19">
        <f>SUM(F669:H669)</f>
        <v>-53668.89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18834.3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18834.3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Rye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3151710.23</v>
      </c>
      <c r="C9" s="229">
        <f>'DOE25'!G197+'DOE25'!G215+'DOE25'!G233+'DOE25'!G276+'DOE25'!G295+'DOE25'!G314</f>
        <v>1274059.45</v>
      </c>
    </row>
    <row r="10" spans="1:3" x14ac:dyDescent="0.2">
      <c r="A10" t="s">
        <v>779</v>
      </c>
      <c r="B10" s="240">
        <v>2987086.6</v>
      </c>
      <c r="C10" s="240">
        <v>1207502.5900000001</v>
      </c>
    </row>
    <row r="11" spans="1:3" x14ac:dyDescent="0.2">
      <c r="A11" t="s">
        <v>780</v>
      </c>
      <c r="B11" s="240">
        <v>102546.19</v>
      </c>
      <c r="C11" s="240">
        <v>41445.15</v>
      </c>
    </row>
    <row r="12" spans="1:3" x14ac:dyDescent="0.2">
      <c r="A12" t="s">
        <v>781</v>
      </c>
      <c r="B12" s="240">
        <v>62077.440000000002</v>
      </c>
      <c r="C12" s="240">
        <v>25111.71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3151710.23</v>
      </c>
      <c r="C13" s="231">
        <f>SUM(C10:C12)</f>
        <v>1274059.45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662260.51</v>
      </c>
      <c r="C18" s="229">
        <f>'DOE25'!G198+'DOE25'!G216+'DOE25'!G234+'DOE25'!G277+'DOE25'!G296+'DOE25'!G315</f>
        <v>272586.69</v>
      </c>
    </row>
    <row r="19" spans="1:3" x14ac:dyDescent="0.2">
      <c r="A19" t="s">
        <v>779</v>
      </c>
      <c r="B19" s="240">
        <v>341893.5</v>
      </c>
      <c r="C19" s="240">
        <v>148900.48000000001</v>
      </c>
    </row>
    <row r="20" spans="1:3" x14ac:dyDescent="0.2">
      <c r="A20" t="s">
        <v>780</v>
      </c>
      <c r="B20" s="240">
        <v>235399.01</v>
      </c>
      <c r="C20" s="240">
        <v>96877.31</v>
      </c>
    </row>
    <row r="21" spans="1:3" x14ac:dyDescent="0.2">
      <c r="A21" t="s">
        <v>781</v>
      </c>
      <c r="B21" s="240">
        <v>84968</v>
      </c>
      <c r="C21" s="240">
        <v>26808.9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662260.51</v>
      </c>
      <c r="C22" s="231">
        <f>SUM(C19:C21)</f>
        <v>272586.69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87895</v>
      </c>
      <c r="C36" s="235">
        <f>'DOE25'!G200+'DOE25'!G218+'DOE25'!G236+'DOE25'!G279+'DOE25'!G298+'DOE25'!G317</f>
        <v>5157.53</v>
      </c>
    </row>
    <row r="37" spans="1:3" x14ac:dyDescent="0.2">
      <c r="A37" t="s">
        <v>779</v>
      </c>
      <c r="B37" s="240">
        <v>33745</v>
      </c>
      <c r="C37" s="240">
        <v>1979.98</v>
      </c>
    </row>
    <row r="38" spans="1:3" x14ac:dyDescent="0.2">
      <c r="A38" t="s">
        <v>780</v>
      </c>
      <c r="B38" s="240">
        <v>390</v>
      </c>
      <c r="C38" s="240">
        <v>22.85</v>
      </c>
    </row>
    <row r="39" spans="1:3" x14ac:dyDescent="0.2">
      <c r="A39" t="s">
        <v>781</v>
      </c>
      <c r="B39" s="240">
        <v>53760</v>
      </c>
      <c r="C39" s="240">
        <v>3154.7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87895</v>
      </c>
      <c r="C40" s="231">
        <f>SUM(C37:C39)</f>
        <v>5157.53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Rye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8751868.6999999993</v>
      </c>
      <c r="D5" s="20">
        <f>SUM('DOE25'!L197:L200)+SUM('DOE25'!L215:L218)+SUM('DOE25'!L233:L236)-F5-G5</f>
        <v>8739466.5599999987</v>
      </c>
      <c r="E5" s="243"/>
      <c r="F5" s="255">
        <f>SUM('DOE25'!J197:J200)+SUM('DOE25'!J215:J218)+SUM('DOE25'!J233:J236)</f>
        <v>12402.14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666530.50999999989</v>
      </c>
      <c r="D6" s="20">
        <f>'DOE25'!L202+'DOE25'!L220+'DOE25'!L238-F6-G6</f>
        <v>666423.50999999989</v>
      </c>
      <c r="E6" s="243"/>
      <c r="F6" s="255">
        <f>'DOE25'!J202+'DOE25'!J220+'DOE25'!J238</f>
        <v>107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539410.43999999994</v>
      </c>
      <c r="D7" s="20">
        <f>'DOE25'!L203+'DOE25'!L221+'DOE25'!L239-F7-G7</f>
        <v>476578.20999999996</v>
      </c>
      <c r="E7" s="243"/>
      <c r="F7" s="255">
        <f>'DOE25'!J203+'DOE25'!J221+'DOE25'!J239</f>
        <v>59282.23</v>
      </c>
      <c r="G7" s="53">
        <f>'DOE25'!K203+'DOE25'!K221+'DOE25'!K239</f>
        <v>3550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385817.99999999994</v>
      </c>
      <c r="D8" s="243"/>
      <c r="E8" s="20">
        <f>'DOE25'!L204+'DOE25'!L222+'DOE25'!L240-F8-G8-D9-D11</f>
        <v>374356.54999999993</v>
      </c>
      <c r="F8" s="255">
        <f>'DOE25'!J204+'DOE25'!J222+'DOE25'!J240</f>
        <v>1146.1500000000001</v>
      </c>
      <c r="G8" s="53">
        <f>'DOE25'!K204+'DOE25'!K222+'DOE25'!K240</f>
        <v>10315.299999999999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38983.599999999999</v>
      </c>
      <c r="D9" s="244">
        <v>38983.599999999999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7450</v>
      </c>
      <c r="D10" s="243"/>
      <c r="E10" s="244">
        <v>7450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191848</v>
      </c>
      <c r="D11" s="244">
        <v>191848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470281.07999999996</v>
      </c>
      <c r="D12" s="20">
        <f>'DOE25'!L205+'DOE25'!L223+'DOE25'!L241-F12-G12</f>
        <v>467448.12</v>
      </c>
      <c r="E12" s="243"/>
      <c r="F12" s="255">
        <f>'DOE25'!J205+'DOE25'!J223+'DOE25'!J241</f>
        <v>2199.9899999999998</v>
      </c>
      <c r="G12" s="53">
        <f>'DOE25'!K205+'DOE25'!K223+'DOE25'!K241</f>
        <v>632.97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8294.6299999999992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8294.6299999999992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828308.25</v>
      </c>
      <c r="D14" s="20">
        <f>'DOE25'!L207+'DOE25'!L225+'DOE25'!L243-F14-G14</f>
        <v>824332.64</v>
      </c>
      <c r="E14" s="243"/>
      <c r="F14" s="255">
        <f>'DOE25'!J207+'DOE25'!J225+'DOE25'!J243</f>
        <v>3975.61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319797.98</v>
      </c>
      <c r="D15" s="20">
        <f>'DOE25'!L208+'DOE25'!L226+'DOE25'!L244-F15-G15</f>
        <v>319797.98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18985.75</v>
      </c>
      <c r="D16" s="243"/>
      <c r="E16" s="20">
        <f>'DOE25'!L209+'DOE25'!L227+'DOE25'!L245-F16-G16</f>
        <v>16190.98</v>
      </c>
      <c r="F16" s="255">
        <f>'DOE25'!J209+'DOE25'!J227+'DOE25'!J245</f>
        <v>2794.77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97248.92</v>
      </c>
      <c r="D22" s="243"/>
      <c r="E22" s="243"/>
      <c r="F22" s="255">
        <f>'DOE25'!L255+'DOE25'!L336</f>
        <v>97248.92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326200</v>
      </c>
      <c r="D25" s="243"/>
      <c r="E25" s="243"/>
      <c r="F25" s="258"/>
      <c r="G25" s="256"/>
      <c r="H25" s="257">
        <f>'DOE25'!L260+'DOE25'!L261+'DOE25'!L341+'DOE25'!L342</f>
        <v>326200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178414.56</v>
      </c>
      <c r="D29" s="20">
        <f>'DOE25'!L358+'DOE25'!L359+'DOE25'!L360-'DOE25'!I367-F29-G29</f>
        <v>175735.56</v>
      </c>
      <c r="E29" s="243"/>
      <c r="F29" s="255">
        <f>'DOE25'!J358+'DOE25'!J359+'DOE25'!J360</f>
        <v>2679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147016.19</v>
      </c>
      <c r="D31" s="20">
        <f>'DOE25'!L290+'DOE25'!L309+'DOE25'!L328+'DOE25'!L333+'DOE25'!L334+'DOE25'!L335-F31-G31</f>
        <v>72465.850000000006</v>
      </c>
      <c r="E31" s="243"/>
      <c r="F31" s="255">
        <f>'DOE25'!J290+'DOE25'!J309+'DOE25'!J328+'DOE25'!J333+'DOE25'!J334+'DOE25'!J335</f>
        <v>69037.06</v>
      </c>
      <c r="G31" s="53">
        <f>'DOE25'!K290+'DOE25'!K309+'DOE25'!K328+'DOE25'!K333+'DOE25'!K334+'DOE25'!K335</f>
        <v>5513.2800000000007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11973080.029999997</v>
      </c>
      <c r="E33" s="246">
        <f>SUM(E5:E31)</f>
        <v>397997.52999999991</v>
      </c>
      <c r="F33" s="246">
        <f>SUM(F5:F31)</f>
        <v>250872.87</v>
      </c>
      <c r="G33" s="246">
        <f>SUM(G5:G31)</f>
        <v>28306.18</v>
      </c>
      <c r="H33" s="246">
        <f>SUM(H5:H31)</f>
        <v>326200</v>
      </c>
    </row>
    <row r="35" spans="2:8" ht="12" thickBot="1" x14ac:dyDescent="0.25">
      <c r="B35" s="253" t="s">
        <v>847</v>
      </c>
      <c r="D35" s="254">
        <f>E33</f>
        <v>397997.52999999991</v>
      </c>
      <c r="E35" s="249"/>
    </row>
    <row r="36" spans="2:8" ht="12" thickTop="1" x14ac:dyDescent="0.2">
      <c r="B36" t="s">
        <v>815</v>
      </c>
      <c r="D36" s="20">
        <f>D33</f>
        <v>11973080.029999997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Rye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496960.98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283020.46999999997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27932.71</v>
      </c>
      <c r="D11" s="95">
        <f>'DOE25'!G12</f>
        <v>0</v>
      </c>
      <c r="E11" s="95">
        <f>'DOE25'!H12</f>
        <v>10230.07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779.69</v>
      </c>
      <c r="D12" s="95">
        <f>'DOE25'!G13</f>
        <v>1771.58</v>
      </c>
      <c r="E12" s="95">
        <f>'DOE25'!H13</f>
        <v>1263.5899999999999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1168.81</v>
      </c>
      <c r="D13" s="95">
        <f>'DOE25'!G14</f>
        <v>0</v>
      </c>
      <c r="E13" s="95">
        <f>'DOE25'!H14</f>
        <v>25013.54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629.69000000000005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526842.18999999994</v>
      </c>
      <c r="D18" s="41">
        <f>SUM(D8:D17)</f>
        <v>2401.27</v>
      </c>
      <c r="E18" s="41">
        <f>SUM(E8:E17)</f>
        <v>36507.199999999997</v>
      </c>
      <c r="F18" s="41">
        <f>SUM(F8:F17)</f>
        <v>0</v>
      </c>
      <c r="G18" s="41">
        <f>SUM(G8:G17)</f>
        <v>283020.46999999997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10230.07</v>
      </c>
      <c r="D21" s="95">
        <f>'DOE25'!G22</f>
        <v>1655.58</v>
      </c>
      <c r="E21" s="95">
        <f>'DOE25'!H22</f>
        <v>26277.13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1388.54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20094.759999999998</v>
      </c>
      <c r="D23" s="95">
        <f>'DOE25'!G24</f>
        <v>116</v>
      </c>
      <c r="E23" s="95">
        <f>'DOE25'!H24</f>
        <v>5066.22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41806.82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73520.19</v>
      </c>
      <c r="D31" s="41">
        <f>SUM(D21:D30)</f>
        <v>1771.58</v>
      </c>
      <c r="E31" s="41">
        <f>SUM(E21:E30)</f>
        <v>31343.350000000002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629.69000000000005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297202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5163.8500000000004</v>
      </c>
      <c r="F47" s="95">
        <f>'DOE25'!I48</f>
        <v>0</v>
      </c>
      <c r="G47" s="95">
        <f>'DOE25'!J48</f>
        <v>283020.46999999997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156120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453322</v>
      </c>
      <c r="D50" s="41">
        <f>SUM(D34:D49)</f>
        <v>629.69000000000005</v>
      </c>
      <c r="E50" s="41">
        <f>SUM(E34:E49)</f>
        <v>5163.8500000000004</v>
      </c>
      <c r="F50" s="41">
        <f>SUM(F34:F49)</f>
        <v>0</v>
      </c>
      <c r="G50" s="41">
        <f>SUM(G34:G49)</f>
        <v>283020.46999999997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526842.18999999994</v>
      </c>
      <c r="D51" s="41">
        <f>D50+D31</f>
        <v>2401.27</v>
      </c>
      <c r="E51" s="41">
        <f>E50+E31</f>
        <v>36507.200000000004</v>
      </c>
      <c r="F51" s="41">
        <f>F50+F31</f>
        <v>0</v>
      </c>
      <c r="G51" s="41">
        <f>G50+G31</f>
        <v>283020.46999999997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7495231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243317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26.69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135743.44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4357.2199999999993</v>
      </c>
      <c r="D61" s="95">
        <f>SUM('DOE25'!G98:G110)</f>
        <v>0</v>
      </c>
      <c r="E61" s="95">
        <f>SUM('DOE25'!H98:H110)</f>
        <v>70696.929999999993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247674.22</v>
      </c>
      <c r="D62" s="130">
        <f>SUM(D57:D61)</f>
        <v>135743.44</v>
      </c>
      <c r="E62" s="130">
        <f>SUM(E57:E61)</f>
        <v>70696.929999999993</v>
      </c>
      <c r="F62" s="130">
        <f>SUM(F57:F61)</f>
        <v>0</v>
      </c>
      <c r="G62" s="130">
        <f>SUM(G57:G61)</f>
        <v>26.69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7742905.2199999997</v>
      </c>
      <c r="D63" s="22">
        <f>D56+D62</f>
        <v>135743.44</v>
      </c>
      <c r="E63" s="22">
        <f>E56+E62</f>
        <v>70696.929999999993</v>
      </c>
      <c r="F63" s="22">
        <f>F56+F62</f>
        <v>0</v>
      </c>
      <c r="G63" s="22">
        <f>G56+G62</f>
        <v>26.69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4505379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4505379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116411.54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2498.2199999999998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116411.54</v>
      </c>
      <c r="D78" s="130">
        <f>SUM(D72:D77)</f>
        <v>2498.2199999999998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4621790.54</v>
      </c>
      <c r="D81" s="130">
        <f>SUM(D79:D80)+D78+D70</f>
        <v>2498.2199999999998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38666.43</v>
      </c>
      <c r="D88" s="95">
        <f>SUM('DOE25'!G153:G161)</f>
        <v>23962.880000000001</v>
      </c>
      <c r="E88" s="95">
        <f>SUM('DOE25'!H153:H161)</f>
        <v>78011.17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38666.43</v>
      </c>
      <c r="D91" s="131">
        <f>SUM(D85:D90)</f>
        <v>23962.880000000001</v>
      </c>
      <c r="E91" s="131">
        <f>SUM(E85:E90)</f>
        <v>78011.17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22478.34</v>
      </c>
      <c r="E96" s="95">
        <f>'DOE25'!H179</f>
        <v>2066.17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515.35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515.35</v>
      </c>
      <c r="D103" s="86">
        <f>SUM(D93:D102)</f>
        <v>22478.34</v>
      </c>
      <c r="E103" s="86">
        <f>SUM(E93:E102)</f>
        <v>2066.17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12403877.539999999</v>
      </c>
      <c r="D104" s="86">
        <f>D63+D81+D91+D103</f>
        <v>184682.88</v>
      </c>
      <c r="E104" s="86">
        <f>E63+E81+E91+E103</f>
        <v>150774.26999999999</v>
      </c>
      <c r="F104" s="86">
        <f>F63+F81+F91+F103</f>
        <v>0</v>
      </c>
      <c r="G104" s="86">
        <f>G63+G81+G103</f>
        <v>26.69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7504072.9299999997</v>
      </c>
      <c r="D109" s="24" t="s">
        <v>289</v>
      </c>
      <c r="E109" s="95">
        <f>('DOE25'!L276)+('DOE25'!L295)+('DOE25'!L314)</f>
        <v>45007.09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1119818.6000000001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127977.16999999998</v>
      </c>
      <c r="D112" s="24" t="s">
        <v>289</v>
      </c>
      <c r="E112" s="95">
        <f>+('DOE25'!L279)+('DOE25'!L298)+('DOE25'!L317)</f>
        <v>33267.72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8751868.6999999993</v>
      </c>
      <c r="D115" s="86">
        <f>SUM(D109:D114)</f>
        <v>0</v>
      </c>
      <c r="E115" s="86">
        <f>SUM(E109:E114)</f>
        <v>78274.81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666530.50999999989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539410.43999999994</v>
      </c>
      <c r="D119" s="24" t="s">
        <v>289</v>
      </c>
      <c r="E119" s="95">
        <f>+('DOE25'!L282)+('DOE25'!L301)+('DOE25'!L320)</f>
        <v>59778.950000000004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616649.6</v>
      </c>
      <c r="D120" s="24" t="s">
        <v>289</v>
      </c>
      <c r="E120" s="95">
        <f>+('DOE25'!L283)+('DOE25'!L302)+('DOE25'!L321)</f>
        <v>5066.22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470281.07999999996</v>
      </c>
      <c r="D121" s="24" t="s">
        <v>289</v>
      </c>
      <c r="E121" s="95">
        <f>+('DOE25'!L284)+('DOE25'!L303)+('DOE25'!L322)</f>
        <v>29.4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8294.6299999999992</v>
      </c>
      <c r="D122" s="24" t="s">
        <v>289</v>
      </c>
      <c r="E122" s="95">
        <f>+('DOE25'!L285)+('DOE25'!L304)+('DOE25'!L323)</f>
        <v>397.06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828308.25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319797.98</v>
      </c>
      <c r="D124" s="24" t="s">
        <v>289</v>
      </c>
      <c r="E124" s="95">
        <f>+('DOE25'!L287)+('DOE25'!L306)+('DOE25'!L325)</f>
        <v>285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18985.75</v>
      </c>
      <c r="D125" s="24" t="s">
        <v>289</v>
      </c>
      <c r="E125" s="95">
        <f>+('DOE25'!L288)+('DOE25'!L307)+('DOE25'!L326)</f>
        <v>3184.75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184682.88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3468258.2399999998</v>
      </c>
      <c r="D128" s="86">
        <f>SUM(D118:D127)</f>
        <v>184682.88</v>
      </c>
      <c r="E128" s="86">
        <f>SUM(E118:E127)</f>
        <v>68741.38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88208.2</v>
      </c>
      <c r="D130" s="24" t="s">
        <v>289</v>
      </c>
      <c r="E130" s="129">
        <f>'DOE25'!L336</f>
        <v>9040.7199999999993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46200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515.35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22478.34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2066.17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15.26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11.43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-26.689999999999998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438952.71</v>
      </c>
      <c r="D144" s="141">
        <f>SUM(D130:D143)</f>
        <v>0</v>
      </c>
      <c r="E144" s="141">
        <f>SUM(E130:E143)</f>
        <v>9556.07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12659079.65</v>
      </c>
      <c r="D145" s="86">
        <f>(D115+D128+D144)</f>
        <v>184682.88</v>
      </c>
      <c r="E145" s="86">
        <f>(E115+E128+E144)</f>
        <v>156572.26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12/96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8844720.8000000007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840000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280000</v>
      </c>
    </row>
    <row r="159" spans="1:9" x14ac:dyDescent="0.2">
      <c r="A159" s="22" t="s">
        <v>35</v>
      </c>
      <c r="B159" s="137">
        <f>'DOE25'!F498</f>
        <v>560000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560000</v>
      </c>
    </row>
    <row r="160" spans="1:9" x14ac:dyDescent="0.2">
      <c r="A160" s="22" t="s">
        <v>36</v>
      </c>
      <c r="B160" s="137">
        <f>'DOE25'!F499</f>
        <v>46200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46200</v>
      </c>
    </row>
    <row r="161" spans="1:7" x14ac:dyDescent="0.2">
      <c r="A161" s="22" t="s">
        <v>37</v>
      </c>
      <c r="B161" s="137">
        <f>'DOE25'!F500</f>
        <v>606200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606200</v>
      </c>
    </row>
    <row r="162" spans="1:7" x14ac:dyDescent="0.2">
      <c r="A162" s="22" t="s">
        <v>38</v>
      </c>
      <c r="B162" s="137">
        <f>'DOE25'!F501</f>
        <v>280000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280000</v>
      </c>
    </row>
    <row r="163" spans="1:7" x14ac:dyDescent="0.2">
      <c r="A163" s="22" t="s">
        <v>39</v>
      </c>
      <c r="B163" s="137">
        <f>'DOE25'!F502</f>
        <v>30800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30800</v>
      </c>
    </row>
    <row r="164" spans="1:7" x14ac:dyDescent="0.2">
      <c r="A164" s="22" t="s">
        <v>246</v>
      </c>
      <c r="B164" s="137">
        <f>'DOE25'!F503</f>
        <v>310800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310800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Rye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18834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18834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7549080</v>
      </c>
      <c r="D10" s="182">
        <f>ROUND((C10/$C$28)*100,1)</f>
        <v>60.6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1119819</v>
      </c>
      <c r="D11" s="182">
        <f>ROUND((C11/$C$28)*100,1)</f>
        <v>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161245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666531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599189</v>
      </c>
      <c r="D16" s="182">
        <f t="shared" si="0"/>
        <v>4.8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643886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470310</v>
      </c>
      <c r="D18" s="182">
        <f t="shared" si="0"/>
        <v>3.8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8692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828308</v>
      </c>
      <c r="D20" s="182">
        <f t="shared" si="0"/>
        <v>6.6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320083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46200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48939.56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12462282.560000001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97249</v>
      </c>
    </row>
    <row r="30" spans="1:4" x14ac:dyDescent="0.2">
      <c r="B30" s="187" t="s">
        <v>729</v>
      </c>
      <c r="C30" s="180">
        <f>SUM(C28:C29)</f>
        <v>12559531.560000001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280000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7495231</v>
      </c>
      <c r="D35" s="182">
        <f t="shared" ref="D35:D40" si="1">ROUND((C35/$C$41)*100,1)</f>
        <v>59.6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318397.83999999985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4505379</v>
      </c>
      <c r="D37" s="182">
        <f t="shared" si="1"/>
        <v>35.799999999999997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118910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140640</v>
      </c>
      <c r="D39" s="182">
        <f t="shared" si="1"/>
        <v>1.1000000000000001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12578557.84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Rye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2015-07-21T15:24:45Z</cp:lastPrinted>
  <dcterms:created xsi:type="dcterms:W3CDTF">1997-12-04T19:04:30Z</dcterms:created>
  <dcterms:modified xsi:type="dcterms:W3CDTF">2015-07-27T14:58:56Z</dcterms:modified>
</cp:coreProperties>
</file>