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22170" windowHeight="115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1" i="1" l="1"/>
  <c r="G526" i="1"/>
  <c r="F531" i="1"/>
  <c r="F526" i="1"/>
  <c r="F521" i="1"/>
  <c r="J521" i="1" l="1"/>
  <c r="I521" i="1"/>
  <c r="H521" i="1"/>
  <c r="C21" i="12" l="1"/>
  <c r="C20" i="12"/>
  <c r="C19" i="12"/>
  <c r="C12" i="12"/>
  <c r="C11" i="12"/>
  <c r="C10" i="12"/>
  <c r="K209" i="1"/>
  <c r="G203" i="1"/>
  <c r="G531" i="1"/>
  <c r="F579" i="1" l="1"/>
  <c r="F582" i="1"/>
  <c r="F502" i="1"/>
  <c r="F497" i="1"/>
  <c r="B11" i="12"/>
  <c r="B21" i="12"/>
  <c r="B20" i="12"/>
  <c r="B19" i="12"/>
  <c r="B12" i="12"/>
  <c r="B10" i="12"/>
  <c r="B38" i="12"/>
  <c r="B37" i="12"/>
  <c r="H277" i="1"/>
  <c r="K283" i="1"/>
  <c r="J277" i="1"/>
  <c r="H604" i="1"/>
  <c r="I281" i="1"/>
  <c r="I277" i="1"/>
  <c r="I276" i="1"/>
  <c r="H276" i="1"/>
  <c r="G276" i="1"/>
  <c r="F276" i="1"/>
  <c r="H159" i="1"/>
  <c r="H155" i="1"/>
  <c r="H154" i="1"/>
  <c r="I250" i="1"/>
  <c r="H255" i="1"/>
  <c r="J207" i="1"/>
  <c r="F202" i="1"/>
  <c r="I207" i="1"/>
  <c r="I203" i="1"/>
  <c r="H208" i="1"/>
  <c r="H207" i="1"/>
  <c r="H204" i="1"/>
  <c r="H203" i="1"/>
  <c r="F203" i="1"/>
  <c r="F200" i="1"/>
  <c r="F49" i="1"/>
  <c r="F29" i="1"/>
  <c r="F9" i="1"/>
  <c r="F110" i="1"/>
  <c r="G440" i="1"/>
  <c r="F367" i="1"/>
  <c r="F368" i="1"/>
  <c r="I358" i="1"/>
  <c r="G358" i="1"/>
  <c r="F35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C128" i="2" s="1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C16" i="13" s="1"/>
  <c r="J655" i="1"/>
  <c r="J645" i="1"/>
  <c r="L570" i="1"/>
  <c r="I571" i="1"/>
  <c r="I545" i="1"/>
  <c r="J636" i="1"/>
  <c r="G36" i="2"/>
  <c r="L565" i="1"/>
  <c r="H545" i="1"/>
  <c r="K551" i="1"/>
  <c r="C22" i="13"/>
  <c r="C138" i="2"/>
  <c r="H33" i="13"/>
  <c r="K549" i="1" l="1"/>
  <c r="K552" i="1" s="1"/>
  <c r="L529" i="1"/>
  <c r="L545" i="1" s="1"/>
  <c r="C10" i="10"/>
  <c r="C109" i="2"/>
  <c r="C115" i="2" s="1"/>
  <c r="E33" i="13"/>
  <c r="D35" i="13" s="1"/>
  <c r="C81" i="2"/>
  <c r="C62" i="2"/>
  <c r="C63" i="2" s="1"/>
  <c r="C104" i="2" s="1"/>
  <c r="F664" i="1"/>
  <c r="I66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28" i="10" l="1"/>
  <c r="D24" i="10" s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16" i="10" l="1"/>
  <c r="D22" i="10"/>
  <c r="D19" i="10"/>
  <c r="I667" i="1"/>
  <c r="H656" i="1"/>
  <c r="D28" i="10"/>
  <c r="C41" i="10"/>
  <c r="D38" i="10" s="1"/>
  <c r="D37" i="10" l="1"/>
  <c r="D36" i="10"/>
  <c r="D35" i="10"/>
  <c r="D40" i="10"/>
  <c r="D39" i="10"/>
  <c r="D41" i="10" l="1"/>
  <c r="B13" i="12"/>
  <c r="A13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<sst xmlns="http://schemas.openxmlformats.org/spreadsheetml/2006/main" count="3957" uniqueCount="915">
  <si>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</si>
  <si>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</si>
  <si>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</si>
  <si>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</si>
  <si>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</si>
  <si>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</si>
  <si>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</si>
  <si>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</si>
  <si>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</si>
  <si>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</si>
  <si>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</si>
  <si>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</si>
  <si>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</si>
  <si>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</si>
  <si>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</si>
  <si>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</si>
  <si>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</si>
  <si>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</si>
  <si>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</si>
  <si>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</si>
  <si>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</si>
  <si>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</si>
  <si>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</si>
  <si>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</si>
  <si>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</si>
  <si>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</si>
  <si>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</si>
  <si>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</si>
  <si>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</si>
  <si>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</si>
  <si>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</si>
  <si>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</si>
  <si>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</si>
  <si>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</si>
  <si>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</si>
  <si>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</si>
  <si>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</si>
  <si>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</si>
  <si>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</si>
  <si>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</si>
  <si>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</si>
  <si>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</si>
  <si>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</si>
  <si>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</si>
  <si>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</si>
  <si>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</si>
  <si>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</si>
  <si>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</si>
  <si>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</si>
  <si>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</si>
  <si>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</si>
  <si>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</si>
  <si>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</si>
  <si>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</si>
  <si>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</si>
  <si>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</si>
  <si>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</si>
  <si>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</si>
  <si>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</si>
  <si>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</si>
  <si>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</si>
  <si>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</si>
  <si>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</si>
  <si>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</si>
  <si>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</si>
  <si>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</si>
  <si>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</si>
  <si>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</si>
  <si>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</si>
  <si>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</si>
  <si>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</si>
  <si>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</si>
  <si>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</si>
  <si>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</si>
  <si>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</si>
  <si>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</si>
  <si>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</si>
  <si>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</si>
  <si>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</si>
  <si>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</si>
  <si>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</si>
  <si>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</si>
  <si>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</si>
  <si>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</si>
  <si>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</si>
  <si>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</si>
  <si>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</si>
  <si>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</si>
  <si>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</si>
  <si>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</si>
  <si>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</si>
  <si>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</si>
  <si>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</si>
  <si>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</si>
  <si>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</si>
  <si>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</si>
  <si>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</si>
  <si>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</si>
  <si>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</si>
  <si>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</si>
  <si>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</si>
  <si>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</si>
  <si>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</si>
  <si>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</si>
  <si>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</si>
  <si>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</si>
  <si>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</si>
  <si>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</si>
  <si>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</si>
  <si>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</si>
  <si>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</si>
  <si>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</si>
  <si>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</si>
  <si>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</si>
  <si>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</si>
  <si>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</si>
  <si>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</si>
  <si>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</si>
  <si>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</si>
  <si>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</si>
  <si>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</si>
  <si>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</si>
  <si>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</si>
  <si>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</si>
  <si>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</si>
  <si>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</si>
  <si>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</si>
  <si>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</si>
  <si>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</si>
  <si>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</si>
  <si>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</si>
  <si>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</si>
  <si>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</si>
  <si>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</si>
  <si>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</si>
  <si>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</si>
  <si>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</si>
  <si>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</si>
  <si>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</si>
  <si>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</si>
  <si>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</si>
  <si>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</si>
  <si>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</si>
  <si>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</si>
  <si>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</si>
  <si>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</si>
  <si>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</si>
  <si>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</si>
  <si>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</si>
  <si>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</si>
  <si>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</si>
  <si>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</si>
  <si>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</si>
  <si>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</si>
  <si>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</si>
  <si>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</si>
  <si>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</si>
  <si>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</si>
  <si>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</si>
  <si>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</si>
  <si>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</si>
  <si>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</si>
  <si>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</si>
  <si>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</si>
  <si>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</si>
  <si>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</si>
  <si>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</si>
  <si>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</si>
  <si>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</si>
  <si>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</si>
  <si>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</si>
  <si>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</si>
  <si>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</si>
  <si>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</si>
  <si>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</si>
  <si>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</si>
  <si>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</si>
  <si>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</si>
  <si>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</si>
  <si>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</si>
  <si>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</si>
  <si>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</si>
  <si>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</si>
  <si>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</si>
  <si>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</si>
  <si>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</si>
  <si>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</si>
  <si>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</si>
  <si>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</si>
  <si>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</si>
  <si>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</si>
  <si>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</si>
  <si>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</si>
  <si>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</si>
  <si>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</si>
  <si>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</si>
  <si>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</si>
  <si>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</si>
  <si>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</si>
  <si>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</si>
  <si>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</si>
  <si>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</si>
  <si>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</si>
  <si>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</si>
  <si>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</si>
  <si>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</si>
  <si>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</si>
  <si>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</si>
  <si>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</si>
  <si>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</si>
  <si>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</si>
  <si>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</si>
  <si>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</si>
  <si>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</si>
  <si>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</si>
  <si>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</si>
  <si>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</si>
  <si>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</si>
  <si>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</si>
  <si>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</si>
  <si>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</si>
  <si>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</si>
  <si>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</si>
  <si>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</si>
  <si>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</si>
  <si>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</si>
  <si>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</si>
  <si>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</si>
  <si>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</si>
  <si>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</si>
  <si>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</si>
  <si>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</si>
  <si>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</si>
  <si>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</si>
  <si>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</si>
  <si>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</si>
  <si>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</si>
  <si>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</si>
  <si>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</si>
  <si>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</si>
  <si>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</si>
  <si>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</si>
  <si>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</si>
  <si>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</si>
  <si>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</si>
  <si>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</si>
  <si>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</si>
  <si>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</si>
  <si>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</si>
  <si>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</si>
  <si>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</si>
  <si>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</si>
  <si>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</si>
  <si>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</si>
  <si>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</si>
  <si>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</si>
  <si>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</si>
  <si>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</si>
  <si>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</si>
  <si>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</si>
  <si>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</si>
  <si>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</si>
  <si>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</si>
  <si>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</si>
  <si>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</si>
  <si>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</si>
  <si>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</si>
  <si>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</si>
  <si>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</si>
  <si>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</si>
  <si>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</si>
  <si>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</si>
  <si>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</si>
  <si>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</si>
  <si>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</si>
  <si>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</si>
  <si>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</si>
  <si>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</si>
  <si>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</si>
  <si>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</si>
  <si>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</si>
  <si>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</si>
  <si>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</si>
  <si>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</si>
  <si>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</si>
  <si>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</si>
  <si>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</si>
  <si>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</si>
  <si>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</si>
  <si>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</si>
  <si>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</si>
  <si>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</si>
  <si>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</si>
  <si>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</si>
  <si>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</si>
  <si>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</si>
  <si>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</si>
  <si>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</si>
  <si>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</si>
  <si>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</si>
  <si>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</si>
  <si>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</si>
  <si>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</si>
  <si>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</si>
  <si>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</si>
  <si>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</si>
  <si>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</si>
  <si>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</si>
  <si>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</si>
  <si>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</si>
  <si>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</si>
  <si>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</si>
  <si>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</si>
  <si>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</si>
  <si>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</si>
  <si>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</si>
  <si>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</si>
  <si>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</si>
  <si>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</si>
  <si>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</si>
  <si>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</si>
  <si>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</si>
  <si>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</si>
  <si>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</si>
  <si>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</si>
  <si>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</si>
  <si>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</si>
  <si>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</si>
  <si>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</si>
  <si>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</si>
  <si>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</si>
  <si>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</si>
  <si>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</si>
  <si>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</si>
  <si>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</si>
  <si>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</si>
  <si>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</si>
  <si>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</si>
  <si>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</si>
  <si>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</si>
  <si>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</si>
  <si>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</si>
  <si>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</si>
  <si>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</si>
  <si>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</si>
  <si>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</si>
  <si>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</si>
  <si>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</si>
  <si>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</si>
  <si>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</si>
  <si>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</si>
  <si>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</si>
  <si>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</si>
  <si>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</si>
  <si>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</si>
  <si>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</si>
  <si>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</si>
  <si>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</si>
  <si>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</si>
  <si>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</si>
  <si>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</si>
  <si>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</si>
  <si>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</si>
  <si>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</si>
  <si>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</si>
  <si>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</si>
  <si>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</si>
  <si>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</si>
  <si>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</si>
  <si>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</si>
  <si>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</si>
  <si>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</si>
  <si>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</si>
  <si>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</si>
  <si>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</si>
  <si>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</si>
  <si>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</si>
  <si>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</si>
  <si>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</si>
  <si>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</si>
  <si>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</si>
  <si>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</si>
  <si>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</si>
  <si>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</si>
  <si>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</si>
  <si>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</si>
  <si>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</si>
  <si>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</si>
  <si>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</si>
  <si>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</si>
  <si>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</si>
  <si>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</si>
  <si>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</si>
  <si>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</si>
  <si>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</si>
  <si>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</si>
  <si>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</si>
  <si>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</si>
  <si>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</si>
  <si>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</si>
  <si>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</si>
  <si>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</si>
  <si>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</si>
  <si>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</si>
  <si>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</si>
  <si>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</si>
  <si>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</si>
  <si>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</si>
  <si>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</si>
  <si>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</si>
  <si>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</si>
  <si>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</si>
  <si>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</si>
  <si>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</si>
  <si>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</si>
  <si>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</si>
  <si>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</si>
  <si>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</si>
  <si>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</si>
  <si>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</si>
  <si>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</si>
  <si>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</si>
  <si>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</si>
  <si>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</si>
  <si>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</si>
  <si>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</si>
  <si>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</si>
  <si>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</si>
  <si>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</si>
  <si>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</si>
  <si>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</si>
  <si>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</si>
  <si>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</si>
  <si>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</si>
  <si>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</si>
  <si>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</si>
  <si>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</si>
  <si>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</si>
  <si>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</si>
  <si>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</si>
  <si>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</si>
  <si>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</si>
  <si>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</si>
  <si>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</si>
  <si>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</si>
  <si>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</si>
  <si>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</si>
  <si>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</si>
  <si>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</si>
  <si>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</si>
  <si>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</si>
  <si>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</si>
  <si>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</si>
  <si>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</si>
  <si>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</si>
  <si>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</si>
  <si>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</si>
  <si>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</si>
  <si>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</si>
  <si>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</si>
  <si>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</si>
  <si>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</si>
  <si>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</si>
  <si>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</si>
  <si>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</si>
  <si>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</si>
  <si>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</si>
  <si>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</si>
  <si>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</si>
  <si>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</si>
  <si>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</si>
  <si>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</si>
  <si>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</si>
  <si>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</si>
  <si>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</si>
  <si>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</si>
  <si>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</si>
  <si>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</si>
  <si>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</si>
  <si>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</si>
  <si>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</si>
  <si>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</si>
  <si>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</si>
  <si>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</si>
  <si>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</si>
  <si>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</si>
  <si>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</si>
  <si>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</si>
  <si>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</si>
  <si>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</si>
  <si>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</si>
  <si>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</si>
  <si>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</si>
  <si>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</si>
  <si>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</si>
  <si>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</si>
  <si>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</si>
  <si>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</si>
  <si>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</si>
  <si>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</si>
  <si>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</si>
  <si>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</si>
  <si>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</si>
  <si>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</si>
  <si>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</si>
  <si>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</si>
  <si>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</si>
  <si>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</si>
  <si>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</si>
  <si>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</si>
  <si>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</si>
  <si>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</si>
  <si>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</si>
  <si>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</si>
  <si>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</si>
  <si>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</si>
  <si>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</si>
  <si>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</si>
  <si>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</si>
  <si>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</si>
  <si>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</si>
  <si>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</si>
  <si>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</si>
  <si>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</si>
  <si>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</si>
  <si>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</si>
  <si>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</si>
  <si>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</si>
  <si>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</si>
  <si>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</si>
  <si>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</si>
  <si>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</si>
  <si>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</si>
  <si>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</si>
  <si>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</si>
  <si>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</si>
  <si>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</si>
  <si>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</si>
  <si>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</si>
  <si>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</si>
  <si>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</si>
  <si>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</si>
  <si>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</si>
  <si>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</si>
  <si>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</si>
  <si>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</si>
  <si>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</si>
  <si>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</si>
  <si>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</si>
  <si>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</si>
  <si>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</si>
  <si>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</si>
  <si>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</si>
  <si>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</si>
  <si>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</si>
  <si>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</si>
  <si>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</si>
  <si>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</si>
  <si>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</si>
  <si>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</si>
  <si>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</si>
  <si>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</si>
  <si>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</si>
  <si>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</si>
  <si>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</si>
  <si>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</si>
  <si>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</si>
  <si>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</si>
  <si>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</si>
  <si>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</si>
  <si>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</si>
  <si>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</si>
  <si>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</si>
  <si>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</si>
  <si>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</si>
  <si>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</si>
  <si>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</si>
  <si>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</si>
  <si>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</si>
  <si>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</si>
  <si>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</si>
  <si>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</si>
  <si>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</si>
  <si>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</si>
  <si>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</si>
  <si>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</si>
  <si>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</si>
  <si>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</si>
  <si>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</si>
  <si>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</si>
  <si>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</si>
  <si>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</si>
  <si>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</si>
  <si>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</si>
  <si>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</si>
  <si>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</si>
  <si>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</si>
  <si>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</si>
  <si>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</si>
  <si>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</si>
  <si>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</si>
  <si>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</si>
  <si>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</si>
  <si>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</si>
  <si>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</si>
  <si>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</si>
  <si>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</si>
  <si>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</si>
  <si>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</si>
  <si>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</si>
  <si>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</si>
  <si>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</si>
  <si>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</si>
  <si>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</si>
  <si>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</si>
  <si>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</si>
  <si>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</si>
  <si>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</si>
  <si>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</si>
  <si>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</si>
  <si>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</si>
  <si>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</si>
  <si>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</si>
  <si>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</si>
  <si>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</si>
  <si>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</si>
  <si>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</si>
  <si>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</si>
  <si>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</si>
  <si>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</si>
  <si>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</si>
  <si>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</si>
  <si>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</si>
  <si>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</si>
  <si>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</si>
  <si>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</si>
  <si>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</si>
  <si>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</si>
  <si>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</si>
  <si>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</si>
  <si>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</si>
  <si>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</si>
  <si>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</si>
  <si>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</si>
  <si>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</si>
  <si>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</si>
  <si>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</si>
  <si>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</si>
  <si>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</si>
  <si>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</si>
  <si>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</si>
  <si>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</si>
  <si>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</si>
  <si>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</si>
  <si>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</si>
  <si>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</si>
  <si>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</si>
  <si>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</si>
  <si>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</si>
  <si>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</si>
  <si>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</si>
  <si>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</si>
  <si>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</si>
  <si>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</si>
  <si>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</si>
  <si>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</si>
  <si>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</si>
  <si>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</si>
  <si>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</si>
  <si>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</si>
  <si>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</si>
  <si>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</si>
  <si>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</si>
  <si>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</si>
  <si>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</si>
  <si>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</si>
  <si>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</si>
  <si>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</si>
  <si>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</si>
  <si>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</si>
  <si>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</si>
  <si>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</si>
  <si>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</si>
  <si>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</si>
  <si>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</si>
  <si>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</si>
  <si>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</si>
  <si>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</si>
  <si>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</si>
  <si>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</si>
  <si>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</si>
  <si>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</si>
  <si>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</si>
  <si>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</si>
  <si>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</si>
  <si>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</si>
  <si>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</si>
  <si>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</si>
  <si>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</si>
  <si>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</si>
  <si>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</si>
  <si>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</si>
  <si>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</si>
  <si>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</si>
  <si>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</si>
  <si>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</si>
  <si>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</si>
  <si>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</si>
  <si>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</si>
  <si>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</si>
  <si>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</si>
  <si>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</si>
  <si>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</si>
  <si>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</si>
  <si>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</si>
  <si>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</si>
  <si>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</si>
  <si>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</si>
  <si>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</si>
  <si>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</si>
  <si>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</si>
  <si>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</si>
  <si>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</si>
  <si>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</si>
  <si>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</si>
  <si>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</si>
  <si>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</si>
  <si>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</si>
  <si>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</si>
  <si>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</si>
  <si>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</si>
  <si>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</si>
  <si>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</si>
  <si>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</si>
  <si>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</si>
  <si>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</si>
  <si>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</si>
  <si>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</si>
  <si>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</si>
  <si>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</si>
  <si>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</si>
  <si>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</si>
  <si>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</si>
  <si>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</si>
  <si>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</si>
  <si>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</si>
  <si>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</si>
  <si>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</si>
  <si>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</si>
  <si>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</si>
  <si>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</si>
  <si>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</si>
  <si>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</si>
  <si>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</si>
  <si>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</si>
  <si>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</si>
  <si>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</si>
  <si>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</si>
  <si>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</si>
  <si>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</si>
  <si>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</si>
  <si>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</si>
  <si>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</si>
  <si>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</si>
  <si>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</si>
  <si>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</si>
  <si>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</si>
  <si>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</si>
  <si>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</si>
  <si>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</si>
  <si>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</si>
  <si>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</si>
  <si>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</si>
  <si>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</si>
  <si>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</si>
  <si>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</si>
  <si>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</si>
  <si>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</si>
  <si>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</si>
  <si>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</si>
  <si>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</si>
  <si>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</si>
  <si>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</si>
  <si>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</si>
  <si>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</si>
  <si>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</si>
  <si>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</si>
  <si>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</si>
  <si>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</si>
  <si>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</si>
  <si>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</si>
  <si>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</si>
  <si>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</si>
  <si>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</si>
  <si>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</si>
  <si>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</si>
  <si>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</si>
  <si>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</si>
  <si>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</si>
  <si>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</si>
  <si>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</si>
  <si>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</si>
  <si>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</si>
  <si>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</si>
  <si>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</si>
  <si>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</si>
  <si>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</si>
  <si>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</si>
  <si>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</si>
  <si>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</si>
  <si>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</si>
  <si>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</si>
  <si>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</si>
  <si>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</si>
  <si>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</si>
  <si>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</si>
  <si>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</si>
  <si>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</si>
  <si>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</si>
  <si>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</si>
  <si>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</si>
  <si>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</si>
  <si>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</si>
  <si>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</si>
  <si>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</si>
  <si>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</si>
  <si>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</si>
  <si>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</si>
  <si>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</si>
  <si>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</si>
  <si>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</si>
  <si>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</si>
  <si>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</si>
  <si>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</si>
  <si>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</si>
  <si>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</si>
  <si>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</si>
  <si>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</si>
  <si>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</si>
  <si>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</si>
  <si>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</si>
  <si>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</si>
  <si>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</si>
  <si>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</si>
  <si>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</si>
  <si>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</si>
  <si>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</si>
  <si>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</si>
  <si>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</si>
  <si>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</si>
  <si>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</si>
  <si>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</si>
  <si>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</si>
  <si>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</si>
  <si>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</si>
  <si>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</si>
  <si>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</si>
  <si>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</si>
  <si>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</si>
  <si>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</si>
  <si>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</si>
  <si>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</si>
  <si>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</si>
  <si>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</si>
  <si>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</si>
  <si>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</si>
  <si>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</si>
  <si>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</si>
  <si>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</si>
  <si>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</si>
  <si>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</si>
  <si>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</si>
  <si>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</si>
  <si>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</si>
  <si>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</si>
  <si>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</si>
  <si>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</si>
  <si>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</si>
  <si>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</si>
  <si>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</si>
  <si>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</si>
  <si>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</si>
  <si>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</si>
  <si>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</si>
  <si>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</si>
  <si>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</si>
  <si>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</si>
  <si>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</si>
  <si>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</si>
  <si>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</si>
  <si>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</si>
  <si>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</si>
  <si>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</si>
  <si>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</si>
  <si>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</si>
  <si>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</si>
  <si>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</si>
  <si>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</si>
  <si>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</si>
  <si>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</si>
  <si>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</si>
  <si>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</si>
  <si>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</si>
  <si>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</si>
  <si>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</si>
  <si>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</si>
  <si>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</si>
  <si>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</si>
  <si>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</si>
  <si>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</si>
  <si>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</si>
  <si>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SEABROOK</t>
  </si>
  <si>
    <t>LGC REFUND = $97,172.77</t>
  </si>
  <si>
    <t>April 2010</t>
  </si>
  <si>
    <t>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</si>
</sst>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485</v>
      </c>
      <c r="C2" s="21">
        <v>485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517621.5+454.31</f>
        <v>518075.81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172415.45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96523.54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35139.43</v>
      </c>
      <c r="G13" s="18">
        <v>19462.91</v>
      </c>
      <c r="H13" s="18">
        <v>82656.84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16057.44</v>
      </c>
      <c r="G14" s="18">
        <v>331.84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4210.8100000000004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665796.22</v>
      </c>
      <c r="G19" s="41">
        <f>SUM(G9:G18)</f>
        <v>24005.56</v>
      </c>
      <c r="H19" s="41">
        <f>SUM(H9:H18)</f>
        <v>82656.84</v>
      </c>
      <c r="I19" s="41">
        <f>SUM(I9:I18)</f>
        <v>0</v>
      </c>
      <c r="J19" s="41">
        <f>SUM(J9:J18)</f>
        <v>172415.45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13866.7</v>
      </c>
      <c r="H22" s="18">
        <v>79029.14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61321.440000000002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48389.85</v>
      </c>
      <c r="G28" s="18">
        <v>2948.48</v>
      </c>
      <c r="H28" s="18">
        <v>3627.7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32246.97+4062.98+617.14</f>
        <v>36927.090000000004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34469.96</v>
      </c>
      <c r="G30" s="18">
        <v>2701.62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181108.34</v>
      </c>
      <c r="G32" s="41">
        <f>SUM(G22:G31)</f>
        <v>19516.8</v>
      </c>
      <c r="H32" s="41">
        <f>SUM(H22:H31)</f>
        <v>82656.84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4210.8100000000004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277.95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3963.5</v>
      </c>
      <c r="G48" s="18"/>
      <c r="H48" s="18"/>
      <c r="I48" s="18"/>
      <c r="J48" s="13">
        <f>SUM(I459)</f>
        <v>172415.45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77537.15+29982</f>
        <v>107519.15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298205.23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484687.88</v>
      </c>
      <c r="G51" s="41">
        <f>SUM(G35:G50)</f>
        <v>4488.76</v>
      </c>
      <c r="H51" s="41">
        <f>SUM(H35:H50)</f>
        <v>0</v>
      </c>
      <c r="I51" s="41">
        <f>SUM(I35:I50)</f>
        <v>0</v>
      </c>
      <c r="J51" s="41">
        <f>SUM(J35:J50)</f>
        <v>172415.45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665796.22</v>
      </c>
      <c r="G52" s="41">
        <f>G51+G32</f>
        <v>24005.559999999998</v>
      </c>
      <c r="H52" s="41">
        <f>H51+H32</f>
        <v>82656.84</v>
      </c>
      <c r="I52" s="41">
        <f>I51+I32</f>
        <v>0</v>
      </c>
      <c r="J52" s="41">
        <f>J51+J32</f>
        <v>172415.45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8885439.1600000001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8885439.1600000001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4418.5600000000004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4418.5600000000004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316.18</v>
      </c>
      <c r="G96" s="18"/>
      <c r="H96" s="18"/>
      <c r="I96" s="18"/>
      <c r="J96" s="18">
        <v>3171.43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80463.51+1508.25</f>
        <v>81971.759999999995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3000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6769.95+97172.77</f>
        <v>103942.72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107258.9</v>
      </c>
      <c r="G111" s="41">
        <f>SUM(G96:G110)</f>
        <v>81971.759999999995</v>
      </c>
      <c r="H111" s="41">
        <f>SUM(H96:H110)</f>
        <v>0</v>
      </c>
      <c r="I111" s="41">
        <f>SUM(I96:I110)</f>
        <v>0</v>
      </c>
      <c r="J111" s="41">
        <f>SUM(J96:J110)</f>
        <v>3171.43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8997116.620000001</v>
      </c>
      <c r="G112" s="41">
        <f>G60+G111</f>
        <v>81971.759999999995</v>
      </c>
      <c r="H112" s="41">
        <f>H60+H79+H94+H111</f>
        <v>0</v>
      </c>
      <c r="I112" s="41">
        <f>I60+I111</f>
        <v>0</v>
      </c>
      <c r="J112" s="41">
        <f>J60+J111</f>
        <v>3171.43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776015.3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2174776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2950791.3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33500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79672.95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4821.53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113172.95</v>
      </c>
      <c r="G136" s="41">
        <f>SUM(G123:G135)</f>
        <v>4821.53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3063964.25</v>
      </c>
      <c r="G140" s="41">
        <f>G121+SUM(G136:G137)</f>
        <v>4821.53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22159.34+268036.91</f>
        <v>290196.25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2378.58+1905.43+6013.7+10327.49</f>
        <v>20625.199999999997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199263.7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144855.47+4243.22</f>
        <v>149098.69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77170.539999999994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32009.01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77170.539999999994</v>
      </c>
      <c r="G162" s="41">
        <f>SUM(G150:G161)</f>
        <v>231272.71000000002</v>
      </c>
      <c r="H162" s="41">
        <f>SUM(H150:H161)</f>
        <v>459920.14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20296.330000000002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77170.539999999994</v>
      </c>
      <c r="G169" s="41">
        <f>G147+G162+SUM(G163:G168)</f>
        <v>251569.04000000004</v>
      </c>
      <c r="H169" s="41">
        <f>H147+H162+SUM(H163:H168)</f>
        <v>459920.14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14500</v>
      </c>
      <c r="H179" s="18"/>
      <c r="I179" s="18"/>
      <c r="J179" s="18">
        <v>45000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14500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14500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12138251.41</v>
      </c>
      <c r="G193" s="47">
        <f>G112+G140+G169+G192</f>
        <v>352862.33</v>
      </c>
      <c r="H193" s="47">
        <f>H112+H140+H169+H192</f>
        <v>459920.14</v>
      </c>
      <c r="I193" s="47">
        <f>I112+I140+I169+I192</f>
        <v>0</v>
      </c>
      <c r="J193" s="47">
        <f>J112+J140+J192</f>
        <v>48171.43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3912131.79</v>
      </c>
      <c r="G197" s="18">
        <v>1456346.62</v>
      </c>
      <c r="H197" s="18">
        <v>33155.949999999997</v>
      </c>
      <c r="I197" s="18">
        <v>120163.14</v>
      </c>
      <c r="J197" s="18">
        <v>14566.45</v>
      </c>
      <c r="K197" s="18"/>
      <c r="L197" s="19">
        <f>SUM(F197:K197)</f>
        <v>5536363.9500000002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1338736.68</v>
      </c>
      <c r="G198" s="18">
        <v>426948.2</v>
      </c>
      <c r="H198" s="18">
        <v>245862.87</v>
      </c>
      <c r="I198" s="18">
        <v>5245.74</v>
      </c>
      <c r="J198" s="18">
        <v>3463.18</v>
      </c>
      <c r="K198" s="18">
        <v>1139</v>
      </c>
      <c r="L198" s="19">
        <f>SUM(F198:K198)</f>
        <v>2021395.67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34867+19819.52</f>
        <v>54686.520000000004</v>
      </c>
      <c r="G200" s="18">
        <v>4429.6099999999997</v>
      </c>
      <c r="H200" s="18">
        <v>4110</v>
      </c>
      <c r="I200" s="18">
        <v>5436.95</v>
      </c>
      <c r="J200" s="18">
        <v>1076.08</v>
      </c>
      <c r="K200" s="18">
        <v>8593.5</v>
      </c>
      <c r="L200" s="19">
        <f>SUM(F200:K200)</f>
        <v>78332.66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142006.12+138822.06+144825.91+1000</f>
        <v>426654.08999999997</v>
      </c>
      <c r="G202" s="18">
        <v>149056.69</v>
      </c>
      <c r="H202" s="18">
        <v>723</v>
      </c>
      <c r="I202" s="18">
        <v>1956.71</v>
      </c>
      <c r="J202" s="18"/>
      <c r="K202" s="18"/>
      <c r="L202" s="19">
        <f t="shared" ref="L202:L208" si="0">SUM(F202:K202)</f>
        <v>578390.49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133719.04+115029.63</f>
        <v>248748.67</v>
      </c>
      <c r="G203" s="18">
        <f>38344.5+79131.37</f>
        <v>117475.87</v>
      </c>
      <c r="H203" s="18">
        <f>28959.72+5437.95+101585.7</f>
        <v>135983.37</v>
      </c>
      <c r="I203" s="18">
        <f>747.47+20331.63+39621.27</f>
        <v>60700.369999999995</v>
      </c>
      <c r="J203" s="18">
        <v>96536.960000000006</v>
      </c>
      <c r="K203" s="18"/>
      <c r="L203" s="19">
        <f t="shared" si="0"/>
        <v>659445.24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27289</v>
      </c>
      <c r="G204" s="18">
        <v>2210.41</v>
      </c>
      <c r="H204" s="18">
        <f>18120.66+361659</f>
        <v>379779.66</v>
      </c>
      <c r="I204" s="18"/>
      <c r="J204" s="18"/>
      <c r="K204" s="18">
        <v>6089.81</v>
      </c>
      <c r="L204" s="19">
        <f t="shared" si="0"/>
        <v>415368.87999999995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401645.49</v>
      </c>
      <c r="G205" s="18">
        <v>195013.36</v>
      </c>
      <c r="H205" s="18">
        <v>18461.55</v>
      </c>
      <c r="I205" s="18">
        <v>5454.86</v>
      </c>
      <c r="J205" s="18"/>
      <c r="K205" s="18">
        <v>2672.89</v>
      </c>
      <c r="L205" s="19">
        <f t="shared" si="0"/>
        <v>623248.15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421581.6</v>
      </c>
      <c r="G207" s="18">
        <v>151723.95000000001</v>
      </c>
      <c r="H207" s="18">
        <f>158282.13+64832.5+968.51</f>
        <v>224083.14</v>
      </c>
      <c r="I207" s="18">
        <f>248578.32+9967.99</f>
        <v>258546.31</v>
      </c>
      <c r="J207" s="18">
        <f>21809.91+5881.1+822.27</f>
        <v>28513.280000000002</v>
      </c>
      <c r="K207" s="18">
        <v>45</v>
      </c>
      <c r="L207" s="19">
        <f t="shared" si="0"/>
        <v>1084493.28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537251.62+133125.34+8731.55+10672.86+30467.81</f>
        <v>720249.18</v>
      </c>
      <c r="I208" s="18"/>
      <c r="J208" s="18"/>
      <c r="K208" s="18"/>
      <c r="L208" s="19">
        <f t="shared" si="0"/>
        <v>720249.18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f>798+6307.44</f>
        <v>7105.44</v>
      </c>
      <c r="L209" s="19">
        <f>SUM(F209:K209)</f>
        <v>7105.44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6831473.8399999989</v>
      </c>
      <c r="G211" s="41">
        <f t="shared" si="1"/>
        <v>2503204.7100000004</v>
      </c>
      <c r="H211" s="41">
        <f t="shared" si="1"/>
        <v>1762408.7200000002</v>
      </c>
      <c r="I211" s="41">
        <f t="shared" si="1"/>
        <v>457504.07999999996</v>
      </c>
      <c r="J211" s="41">
        <f t="shared" si="1"/>
        <v>144155.95000000001</v>
      </c>
      <c r="K211" s="41">
        <f t="shared" si="1"/>
        <v>25645.64</v>
      </c>
      <c r="L211" s="41">
        <f t="shared" si="1"/>
        <v>11724392.939999999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>
        <v>3148.5</v>
      </c>
      <c r="I250" s="18">
        <f>1434.56+17267.53</f>
        <v>18702.09</v>
      </c>
      <c r="J250" s="18">
        <v>11717</v>
      </c>
      <c r="K250" s="18"/>
      <c r="L250" s="19">
        <f t="shared" ref="L250:L255" si="6">SUM(F250:K250)</f>
        <v>33567.589999999997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9100+55242</f>
        <v>64342</v>
      </c>
      <c r="I255" s="18"/>
      <c r="J255" s="18">
        <v>92645.91</v>
      </c>
      <c r="K255" s="18"/>
      <c r="L255" s="19">
        <f t="shared" si="6"/>
        <v>156987.91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67490.5</v>
      </c>
      <c r="I256" s="41">
        <f t="shared" si="7"/>
        <v>18702.09</v>
      </c>
      <c r="J256" s="41">
        <f t="shared" si="7"/>
        <v>104362.91</v>
      </c>
      <c r="K256" s="41">
        <f t="shared" si="7"/>
        <v>0</v>
      </c>
      <c r="L256" s="41">
        <f>SUM(F256:K256)</f>
        <v>190555.5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6831473.8399999989</v>
      </c>
      <c r="G257" s="41">
        <f t="shared" si="8"/>
        <v>2503204.7100000004</v>
      </c>
      <c r="H257" s="41">
        <f t="shared" si="8"/>
        <v>1829899.2200000002</v>
      </c>
      <c r="I257" s="41">
        <f t="shared" si="8"/>
        <v>476206.17</v>
      </c>
      <c r="J257" s="41">
        <f t="shared" si="8"/>
        <v>248518.86000000002</v>
      </c>
      <c r="K257" s="41">
        <f t="shared" si="8"/>
        <v>25645.64</v>
      </c>
      <c r="L257" s="41">
        <f t="shared" si="8"/>
        <v>11914948.439999999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114000</v>
      </c>
      <c r="L260" s="19">
        <f>SUM(F260:K260)</f>
        <v>114000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22341.02</v>
      </c>
      <c r="L261" s="19">
        <f>SUM(F261:K261)</f>
        <v>22341.02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14500</v>
      </c>
      <c r="L263" s="19">
        <f>SUM(F263:K263)</f>
        <v>14500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</v>
      </c>
      <c r="L266" s="19">
        <f t="shared" si="9"/>
        <v>45000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195841.02</v>
      </c>
      <c r="L270" s="41">
        <f t="shared" si="9"/>
        <v>195841.02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6831473.8399999989</v>
      </c>
      <c r="G271" s="42">
        <f t="shared" si="11"/>
        <v>2503204.7100000004</v>
      </c>
      <c r="H271" s="42">
        <f t="shared" si="11"/>
        <v>1829899.2200000002</v>
      </c>
      <c r="I271" s="42">
        <f t="shared" si="11"/>
        <v>476206.17</v>
      </c>
      <c r="J271" s="42">
        <f t="shared" si="11"/>
        <v>248518.86000000002</v>
      </c>
      <c r="K271" s="42">
        <f t="shared" si="11"/>
        <v>221486.65999999997</v>
      </c>
      <c r="L271" s="42">
        <f t="shared" si="11"/>
        <v>12110789.459999999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950+202185.66</f>
        <v>203135.66</v>
      </c>
      <c r="G276" s="18">
        <f>177.92+49534.15</f>
        <v>49712.07</v>
      </c>
      <c r="H276" s="18">
        <f>2325.1+5844.22+9.49+10105.18</f>
        <v>18283.989999999998</v>
      </c>
      <c r="I276" s="18">
        <f>70.23+2439.6</f>
        <v>2509.83</v>
      </c>
      <c r="J276" s="18"/>
      <c r="K276" s="18">
        <v>50</v>
      </c>
      <c r="L276" s="19">
        <f>SUM(F276:K276)</f>
        <v>273691.55000000005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90081.01</v>
      </c>
      <c r="G277" s="18">
        <v>9943.82</v>
      </c>
      <c r="H277" s="18">
        <f>1655+4799+370</f>
        <v>6824</v>
      </c>
      <c r="I277" s="18">
        <f>250.43+13735</f>
        <v>13985.43</v>
      </c>
      <c r="J277" s="18">
        <f>16673.95+2919.8</f>
        <v>19593.75</v>
      </c>
      <c r="K277" s="18"/>
      <c r="L277" s="19">
        <f>SUM(F277:K277)</f>
        <v>140428.00999999998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17395.599999999999</v>
      </c>
      <c r="G279" s="18">
        <v>2941.08</v>
      </c>
      <c r="H279" s="18"/>
      <c r="I279" s="18"/>
      <c r="J279" s="18"/>
      <c r="K279" s="18"/>
      <c r="L279" s="19">
        <f>SUM(F279:K279)</f>
        <v>20336.68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f>6530.7+940.25</f>
        <v>7470.95</v>
      </c>
      <c r="J281" s="18"/>
      <c r="K281" s="18"/>
      <c r="L281" s="19">
        <f t="shared" ref="L281:L287" si="12">SUM(F281:K281)</f>
        <v>7470.95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f>53.48+624.51+169.48+5718.01+222.31+3091.99+13.17</f>
        <v>9892.9500000000007</v>
      </c>
      <c r="L283" s="19">
        <f t="shared" si="12"/>
        <v>9892.9500000000007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8100</v>
      </c>
      <c r="I287" s="18"/>
      <c r="J287" s="18"/>
      <c r="K287" s="18"/>
      <c r="L287" s="19">
        <f t="shared" si="12"/>
        <v>8100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310612.26999999996</v>
      </c>
      <c r="G290" s="42">
        <f t="shared" si="13"/>
        <v>62596.97</v>
      </c>
      <c r="H290" s="42">
        <f t="shared" si="13"/>
        <v>33207.99</v>
      </c>
      <c r="I290" s="42">
        <f t="shared" si="13"/>
        <v>23966.210000000003</v>
      </c>
      <c r="J290" s="42">
        <f t="shared" si="13"/>
        <v>19593.75</v>
      </c>
      <c r="K290" s="42">
        <f t="shared" si="13"/>
        <v>9942.9500000000007</v>
      </c>
      <c r="L290" s="41">
        <f t="shared" si="13"/>
        <v>459920.14000000007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310612.26999999996</v>
      </c>
      <c r="G338" s="41">
        <f t="shared" si="20"/>
        <v>62596.97</v>
      </c>
      <c r="H338" s="41">
        <f t="shared" si="20"/>
        <v>33207.99</v>
      </c>
      <c r="I338" s="41">
        <f t="shared" si="20"/>
        <v>23966.210000000003</v>
      </c>
      <c r="J338" s="41">
        <f t="shared" si="20"/>
        <v>19593.75</v>
      </c>
      <c r="K338" s="41">
        <f t="shared" si="20"/>
        <v>9942.9500000000007</v>
      </c>
      <c r="L338" s="41">
        <f t="shared" si="20"/>
        <v>459920.14000000007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310612.26999999996</v>
      </c>
      <c r="G352" s="41">
        <f>G338</f>
        <v>62596.97</v>
      </c>
      <c r="H352" s="41">
        <f>H338</f>
        <v>33207.99</v>
      </c>
      <c r="I352" s="41">
        <f>I338</f>
        <v>23966.210000000003</v>
      </c>
      <c r="J352" s="41">
        <f>J338</f>
        <v>19593.75</v>
      </c>
      <c r="K352" s="47">
        <f>K338+K351</f>
        <v>9942.9500000000007</v>
      </c>
      <c r="L352" s="41">
        <f>L338+L351</f>
        <v>459920.14000000007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51877.96+119751.75+163.94+3000+6119.5</f>
        <v>180913.15</v>
      </c>
      <c r="G358" s="18">
        <f>691.1+323</f>
        <v>1014.1</v>
      </c>
      <c r="H358" s="18">
        <v>3001.45</v>
      </c>
      <c r="I358" s="18">
        <f>8391.36+108573.87+20296.33+1250+1596.85+20446.79</f>
        <v>160555.20000000001</v>
      </c>
      <c r="J358" s="18">
        <v>1923.54</v>
      </c>
      <c r="K358" s="18">
        <v>4556.4399999999996</v>
      </c>
      <c r="L358" s="13">
        <f>SUM(F358:K358)</f>
        <v>351963.88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180913.15</v>
      </c>
      <c r="G362" s="47">
        <f t="shared" si="22"/>
        <v>1014.1</v>
      </c>
      <c r="H362" s="47">
        <f t="shared" si="22"/>
        <v>3001.45</v>
      </c>
      <c r="I362" s="47">
        <f t="shared" si="22"/>
        <v>160555.20000000001</v>
      </c>
      <c r="J362" s="47">
        <f t="shared" si="22"/>
        <v>1923.54</v>
      </c>
      <c r="K362" s="47">
        <f t="shared" si="22"/>
        <v>4556.4399999999996</v>
      </c>
      <c r="L362" s="47">
        <f t="shared" si="22"/>
        <v>351963.88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108573.87+20296.33+20446.79</f>
        <v>149316.99</v>
      </c>
      <c r="G367" s="18"/>
      <c r="H367" s="18"/>
      <c r="I367" s="56">
        <f>SUM(F367:H367)</f>
        <v>149316.99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8391.36+1596.85+1250</f>
        <v>11238.210000000001</v>
      </c>
      <c r="G368" s="63"/>
      <c r="H368" s="63"/>
      <c r="I368" s="56">
        <f>SUM(F368:H368)</f>
        <v>11238.210000000001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160555.19999999998</v>
      </c>
      <c r="G369" s="47">
        <f>SUM(G367:G368)</f>
        <v>0</v>
      </c>
      <c r="H369" s="47">
        <f>SUM(H367:H368)</f>
        <v>0</v>
      </c>
      <c r="I369" s="47">
        <f>SUM(I367:I368)</f>
        <v>160555.19999999998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1033.6400000000001</v>
      </c>
      <c r="I396" s="18"/>
      <c r="J396" s="24" t="s">
        <v>289</v>
      </c>
      <c r="K396" s="24" t="s">
        <v>289</v>
      </c>
      <c r="L396" s="56">
        <f t="shared" si="26"/>
        <v>26033.64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20000</v>
      </c>
      <c r="H397" s="18">
        <v>2137.79</v>
      </c>
      <c r="I397" s="18"/>
      <c r="J397" s="24" t="s">
        <v>289</v>
      </c>
      <c r="K397" s="24" t="s">
        <v>289</v>
      </c>
      <c r="L397" s="56">
        <f t="shared" si="26"/>
        <v>22137.79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45000</v>
      </c>
      <c r="H401" s="47">
        <f>SUM(H395:H400)</f>
        <v>3171.4300000000003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48171.43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3171.4300000000003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48171.43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61368</v>
      </c>
      <c r="I422" s="18"/>
      <c r="J422" s="18"/>
      <c r="K422" s="18"/>
      <c r="L422" s="56">
        <f t="shared" si="29"/>
        <v>61368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61368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61368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61368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61368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145014+27401.45</f>
        <v>172415.45</v>
      </c>
      <c r="H440" s="18"/>
      <c r="I440" s="56">
        <f t="shared" si="33"/>
        <v>172415.45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172415.45</v>
      </c>
      <c r="H446" s="13">
        <f>SUM(H439:H445)</f>
        <v>0</v>
      </c>
      <c r="I446" s="13">
        <f>SUM(I439:I445)</f>
        <v>172415.45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172415.45</v>
      </c>
      <c r="H459" s="18"/>
      <c r="I459" s="56">
        <f t="shared" si="34"/>
        <v>172415.45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172415.45</v>
      </c>
      <c r="H460" s="83">
        <f>SUM(H454:H459)</f>
        <v>0</v>
      </c>
      <c r="I460" s="83">
        <f>SUM(I454:I459)</f>
        <v>172415.45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172415.45</v>
      </c>
      <c r="H461" s="42">
        <f>H452+H460</f>
        <v>0</v>
      </c>
      <c r="I461" s="42">
        <f>I452+I460</f>
        <v>172415.45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457225.93</v>
      </c>
      <c r="G465" s="18">
        <v>3590.31</v>
      </c>
      <c r="H465" s="18">
        <v>0</v>
      </c>
      <c r="I465" s="18"/>
      <c r="J465" s="18">
        <v>185612.02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12138251.41</v>
      </c>
      <c r="G468" s="18">
        <v>352862.33</v>
      </c>
      <c r="H468" s="18">
        <v>459920.14</v>
      </c>
      <c r="I468" s="18"/>
      <c r="J468" s="18">
        <v>48171.43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12138251.41</v>
      </c>
      <c r="G470" s="53">
        <f>SUM(G468:G469)</f>
        <v>352862.33</v>
      </c>
      <c r="H470" s="53">
        <f>SUM(H468:H469)</f>
        <v>459920.14</v>
      </c>
      <c r="I470" s="53">
        <f>SUM(I468:I469)</f>
        <v>0</v>
      </c>
      <c r="J470" s="53">
        <f>SUM(J468:J469)</f>
        <v>48171.43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12110789.460000001</v>
      </c>
      <c r="G472" s="18">
        <v>351963.88</v>
      </c>
      <c r="H472" s="18">
        <v>459920.14</v>
      </c>
      <c r="I472" s="18"/>
      <c r="J472" s="18">
        <v>61368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12110789.460000001</v>
      </c>
      <c r="G474" s="53">
        <f>SUM(G472:G473)</f>
        <v>351963.88</v>
      </c>
      <c r="H474" s="53">
        <f>SUM(H472:H473)</f>
        <v>459920.14</v>
      </c>
      <c r="I474" s="53">
        <f>SUM(I472:I473)</f>
        <v>0</v>
      </c>
      <c r="J474" s="53">
        <f>SUM(J472:J473)</f>
        <v>61368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484687.87999999896</v>
      </c>
      <c r="G476" s="53">
        <f>(G465+G470)- G474</f>
        <v>4488.7600000000093</v>
      </c>
      <c r="H476" s="53">
        <f>(H465+H470)- H474</f>
        <v>0</v>
      </c>
      <c r="I476" s="53">
        <f>(I465+I470)- I474</f>
        <v>0</v>
      </c>
      <c r="J476" s="53">
        <f>(J465+J470)- J474</f>
        <v>172415.44999999998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1780093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1.26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1383093</v>
      </c>
      <c r="G495" s="18"/>
      <c r="H495" s="18"/>
      <c r="I495" s="18"/>
      <c r="J495" s="18"/>
      <c r="K495" s="53">
        <f>SUM(F495:J495)</f>
        <v>1383093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114000+22341.02</f>
        <v>136341.01999999999</v>
      </c>
      <c r="G497" s="18"/>
      <c r="H497" s="18"/>
      <c r="I497" s="18"/>
      <c r="J497" s="18"/>
      <c r="K497" s="53">
        <f t="shared" si="35"/>
        <v>136341.01999999999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1269093.03</v>
      </c>
      <c r="G498" s="204"/>
      <c r="H498" s="204"/>
      <c r="I498" s="204"/>
      <c r="J498" s="204"/>
      <c r="K498" s="205">
        <f t="shared" si="35"/>
        <v>1269093.03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78096.09</v>
      </c>
      <c r="G499" s="18"/>
      <c r="H499" s="18"/>
      <c r="I499" s="18"/>
      <c r="J499" s="18"/>
      <c r="K499" s="53">
        <f t="shared" si="35"/>
        <v>78096.09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1347189.12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1347189.12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118672.87</v>
      </c>
      <c r="G501" s="204"/>
      <c r="H501" s="204"/>
      <c r="I501" s="204"/>
      <c r="J501" s="204"/>
      <c r="K501" s="205">
        <f t="shared" si="35"/>
        <v>118672.87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45179.71+40954.96-37184.42-33707.31</f>
        <v>15242.940000000002</v>
      </c>
      <c r="G502" s="18"/>
      <c r="H502" s="18"/>
      <c r="I502" s="18"/>
      <c r="J502" s="18"/>
      <c r="K502" s="53">
        <f t="shared" si="35"/>
        <v>15242.940000000002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133915.81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133915.81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602426.36+405748.46+14457.11+45772.36</f>
        <v>1068404.29</v>
      </c>
      <c r="G521" s="18">
        <f>246886.97+35016.09+7938.32</f>
        <v>289841.38</v>
      </c>
      <c r="H521" s="18">
        <f>245862.87-7878.66+6824</f>
        <v>244808.21</v>
      </c>
      <c r="I521" s="18">
        <f>5245.74+13985.43</f>
        <v>19231.169999999998</v>
      </c>
      <c r="J521" s="18">
        <f>3463.18+19593.75</f>
        <v>23056.93</v>
      </c>
      <c r="K521" s="18"/>
      <c r="L521" s="88">
        <f>SUM(F521:K521)</f>
        <v>1645341.9799999997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1068404.29</v>
      </c>
      <c r="G524" s="108">
        <f t="shared" ref="G524:L524" si="36">SUM(G521:G523)</f>
        <v>289841.38</v>
      </c>
      <c r="H524" s="108">
        <f t="shared" si="36"/>
        <v>244808.21</v>
      </c>
      <c r="I524" s="108">
        <f t="shared" si="36"/>
        <v>19231.169999999998</v>
      </c>
      <c r="J524" s="108">
        <f t="shared" si="36"/>
        <v>23056.93</v>
      </c>
      <c r="K524" s="108">
        <f t="shared" si="36"/>
        <v>0</v>
      </c>
      <c r="L524" s="89">
        <f t="shared" si="36"/>
        <v>1645341.9799999997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203381.9+144825.91+26216.34</f>
        <v>374424.15</v>
      </c>
      <c r="G526" s="18">
        <f>86634.74+36489+20893+2005.55</f>
        <v>146022.28999999998</v>
      </c>
      <c r="H526" s="18"/>
      <c r="I526" s="18"/>
      <c r="J526" s="18"/>
      <c r="K526" s="18"/>
      <c r="L526" s="88">
        <f>SUM(F526:K526)</f>
        <v>520446.44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374424.15</v>
      </c>
      <c r="G529" s="89">
        <f t="shared" ref="G529:L529" si="37">SUM(G526:G528)</f>
        <v>146022.28999999998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520446.44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83229.92+43950.04+3635.2</f>
        <v>130815.15999999999</v>
      </c>
      <c r="G531" s="18">
        <f>41504.1+16906.31</f>
        <v>58410.41</v>
      </c>
      <c r="H531" s="18"/>
      <c r="I531" s="18"/>
      <c r="J531" s="18"/>
      <c r="K531" s="18">
        <v>1139</v>
      </c>
      <c r="L531" s="88">
        <f>SUM(F531:K531)</f>
        <v>190364.57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130815.15999999999</v>
      </c>
      <c r="G534" s="89">
        <f t="shared" ref="G534:L534" si="38">SUM(G531:G533)</f>
        <v>58410.41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1139</v>
      </c>
      <c r="L534" s="89">
        <f t="shared" si="38"/>
        <v>190364.57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7878.66</v>
      </c>
      <c r="I536" s="18"/>
      <c r="J536" s="18"/>
      <c r="K536" s="18"/>
      <c r="L536" s="88">
        <f>SUM(F536:K536)</f>
        <v>7878.66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7878.66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7878.66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133125.34</v>
      </c>
      <c r="I541" s="18"/>
      <c r="J541" s="18"/>
      <c r="K541" s="18"/>
      <c r="L541" s="88">
        <f>SUM(F541:K541)</f>
        <v>133125.34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133125.34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133125.34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1573643.5999999999</v>
      </c>
      <c r="G545" s="89">
        <f t="shared" ref="G545:L545" si="41">G524+G529+G534+G539+G544</f>
        <v>494274.07999999996</v>
      </c>
      <c r="H545" s="89">
        <f t="shared" si="41"/>
        <v>385812.20999999996</v>
      </c>
      <c r="I545" s="89">
        <f t="shared" si="41"/>
        <v>19231.169999999998</v>
      </c>
      <c r="J545" s="89">
        <f t="shared" si="41"/>
        <v>23056.93</v>
      </c>
      <c r="K545" s="89">
        <f t="shared" si="41"/>
        <v>1139</v>
      </c>
      <c r="L545" s="89">
        <f t="shared" si="41"/>
        <v>2497156.9899999998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1645341.9799999997</v>
      </c>
      <c r="G549" s="87">
        <f>L526</f>
        <v>520446.44</v>
      </c>
      <c r="H549" s="87">
        <f>L531</f>
        <v>190364.57</v>
      </c>
      <c r="I549" s="87">
        <f>L536</f>
        <v>7878.66</v>
      </c>
      <c r="J549" s="87">
        <f>L541</f>
        <v>133125.34</v>
      </c>
      <c r="K549" s="87">
        <f>SUM(F549:J549)</f>
        <v>2497156.9899999998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1645341.9799999997</v>
      </c>
      <c r="G552" s="89">
        <f t="shared" si="42"/>
        <v>520446.44</v>
      </c>
      <c r="H552" s="89">
        <f t="shared" si="42"/>
        <v>190364.57</v>
      </c>
      <c r="I552" s="89">
        <f t="shared" si="42"/>
        <v>7878.66</v>
      </c>
      <c r="J552" s="89">
        <f t="shared" si="42"/>
        <v>133125.34</v>
      </c>
      <c r="K552" s="89">
        <f t="shared" si="42"/>
        <v>2497156.9899999998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6890.44+1013.3+1820</f>
        <v>9723.74</v>
      </c>
      <c r="G579" s="18"/>
      <c r="H579" s="18"/>
      <c r="I579" s="87">
        <f t="shared" si="47"/>
        <v>9723.74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8128.58+2566.92+31050+11504.76+31050+31050+4255.91</f>
        <v>119606.17000000001</v>
      </c>
      <c r="G582" s="18"/>
      <c r="H582" s="18"/>
      <c r="I582" s="87">
        <f t="shared" si="47"/>
        <v>119606.17000000001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537251.62</v>
      </c>
      <c r="I591" s="18"/>
      <c r="J591" s="18"/>
      <c r="K591" s="104">
        <f t="shared" ref="K591:K597" si="48">SUM(H591:J591)</f>
        <v>537251.62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133125.34</v>
      </c>
      <c r="I592" s="18"/>
      <c r="J592" s="18"/>
      <c r="K592" s="104">
        <f t="shared" si="48"/>
        <v>133125.34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8731.5499999999993</v>
      </c>
      <c r="I594" s="18"/>
      <c r="J594" s="18"/>
      <c r="K594" s="104">
        <f t="shared" si="48"/>
        <v>8731.5499999999993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10672.86</v>
      </c>
      <c r="I595" s="18"/>
      <c r="J595" s="18"/>
      <c r="K595" s="104">
        <f t="shared" si="48"/>
        <v>10672.86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30467.81</v>
      </c>
      <c r="I597" s="18"/>
      <c r="J597" s="18"/>
      <c r="K597" s="104">
        <f t="shared" si="48"/>
        <v>30467.81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720249.18</v>
      </c>
      <c r="I598" s="108">
        <f>SUM(I591:I597)</f>
        <v>0</v>
      </c>
      <c r="J598" s="108">
        <f>SUM(J591:J597)</f>
        <v>0</v>
      </c>
      <c r="K598" s="108">
        <f>SUM(K591:K597)</f>
        <v>720249.18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6995.14</v>
      </c>
      <c r="I603" s="18"/>
      <c r="J603" s="18"/>
      <c r="K603" s="104">
        <f>SUM(H603:J603)</f>
        <v>6995.14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143333.68-6995.14+822.27+11717+19593.75</f>
        <v>168471.55999999997</v>
      </c>
      <c r="I604" s="18"/>
      <c r="J604" s="18"/>
      <c r="K604" s="104">
        <f>SUM(H604:J604)</f>
        <v>168471.55999999997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175466.69999999998</v>
      </c>
      <c r="I605" s="108">
        <f>SUM(I602:I604)</f>
        <v>0</v>
      </c>
      <c r="J605" s="108">
        <f>SUM(J602:J604)</f>
        <v>0</v>
      </c>
      <c r="K605" s="108">
        <f>SUM(K602:K604)</f>
        <v>175466.69999999998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665796.22</v>
      </c>
      <c r="H617" s="109">
        <f>SUM(F52)</f>
        <v>665796.22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24005.56</v>
      </c>
      <c r="H618" s="109">
        <f>SUM(G52)</f>
        <v>24005.559999999998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82656.84</v>
      </c>
      <c r="H619" s="109">
        <f>SUM(H52)</f>
        <v>82656.84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172415.45</v>
      </c>
      <c r="H621" s="109">
        <f>SUM(J52)</f>
        <v>172415.45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484687.88</v>
      </c>
      <c r="H622" s="109">
        <f>F476</f>
        <v>484687.87999999896</v>
      </c>
      <c r="I622" s="121" t="s">
        <v>101</v>
      </c>
      <c r="J622" s="109">
        <f t="shared" ref="J622:J655" si="50">G622-H622</f>
        <v>1.0477378964424133E-9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4488.76</v>
      </c>
      <c r="H623" s="109">
        <f>G476</f>
        <v>4488.7600000000093</v>
      </c>
      <c r="I623" s="121" t="s">
        <v>102</v>
      </c>
      <c r="J623" s="109">
        <f t="shared" si="50"/>
        <v>-9.0949470177292824E-12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172415.45</v>
      </c>
      <c r="H626" s="109">
        <f>J476</f>
        <v>172415.44999999998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12138251.41</v>
      </c>
      <c r="H627" s="104">
        <f>SUM(F468)</f>
        <v>12138251.41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352862.33</v>
      </c>
      <c r="H628" s="104">
        <f>SUM(G468)</f>
        <v>352862.33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459920.14</v>
      </c>
      <c r="H629" s="104">
        <f>SUM(H468)</f>
        <v>459920.14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48171.43</v>
      </c>
      <c r="H631" s="104">
        <f>SUM(J468)</f>
        <v>48171.43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12110789.459999999</v>
      </c>
      <c r="H632" s="104">
        <f>SUM(F472)</f>
        <v>12110789.460000001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459920.14000000007</v>
      </c>
      <c r="H633" s="104">
        <f>SUM(H472)</f>
        <v>459920.14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160555.20000000001</v>
      </c>
      <c r="H634" s="104">
        <f>I369</f>
        <v>160555.19999999998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351963.88</v>
      </c>
      <c r="H635" s="104">
        <f>SUM(G472)</f>
        <v>351963.88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48171.43</v>
      </c>
      <c r="H637" s="164">
        <f>SUM(J468)</f>
        <v>48171.43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61368</v>
      </c>
      <c r="H638" s="164">
        <f>SUM(J472)</f>
        <v>61368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172415.45</v>
      </c>
      <c r="H640" s="104">
        <f>SUM(G461)</f>
        <v>172415.45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172415.45</v>
      </c>
      <c r="H642" s="104">
        <f>SUM(I461)</f>
        <v>172415.45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3171.43</v>
      </c>
      <c r="H644" s="104">
        <f>H408</f>
        <v>3171.4300000000003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</v>
      </c>
      <c r="H645" s="104">
        <f>G408</f>
        <v>45000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48171.43</v>
      </c>
      <c r="H646" s="104">
        <f>L408</f>
        <v>48171.43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720249.18</v>
      </c>
      <c r="H647" s="104">
        <f>L208+L226+L244</f>
        <v>720249.18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175466.69999999998</v>
      </c>
      <c r="H648" s="104">
        <f>(J257+J338)-(J255+J336)</f>
        <v>175466.69999999998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720249.18</v>
      </c>
      <c r="H649" s="104">
        <f>H598</f>
        <v>720249.18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14500</v>
      </c>
      <c r="H652" s="104">
        <f>K263+K345</f>
        <v>14500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</v>
      </c>
      <c r="H655" s="104">
        <f>K266+K347</f>
        <v>45000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12536276.960000001</v>
      </c>
      <c r="G660" s="19">
        <f>(L229+L309+L359)</f>
        <v>0</v>
      </c>
      <c r="H660" s="19">
        <f>(L247+L328+L360)</f>
        <v>0</v>
      </c>
      <c r="I660" s="19">
        <f>SUM(F660:H660)</f>
        <v>12536276.960000001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81971.759999999995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81971.759999999995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728349.18</v>
      </c>
      <c r="G662" s="19">
        <f>(L226+L306)-(J226+J306)</f>
        <v>0</v>
      </c>
      <c r="H662" s="19">
        <f>(L244+L325)-(J244+J325)</f>
        <v>0</v>
      </c>
      <c r="I662" s="19">
        <f>SUM(F662:H662)</f>
        <v>728349.18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304796.61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304796.61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11421159.41</v>
      </c>
      <c r="G664" s="19">
        <f>G660-SUM(G661:G663)</f>
        <v>0</v>
      </c>
      <c r="H664" s="19">
        <f>H660-SUM(H661:H663)</f>
        <v>0</v>
      </c>
      <c r="I664" s="19">
        <f>I660-SUM(I661:I663)</f>
        <v>11421159.41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676.29</v>
      </c>
      <c r="G665" s="248"/>
      <c r="H665" s="248"/>
      <c r="I665" s="19">
        <f>SUM(F665:H665)</f>
        <v>676.29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16887.96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16887.96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16887.96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16887.96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SEABROOK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4115267.45</v>
      </c>
      <c r="C9" s="229">
        <f>'DOE25'!G197+'DOE25'!G215+'DOE25'!G233+'DOE25'!G276+'DOE25'!G295+'DOE25'!G314</f>
        <v>1506058.6900000002</v>
      </c>
    </row>
    <row r="10" spans="1:3" x14ac:dyDescent="0.2">
      <c r="A10" t="s">
        <v>779</v>
      </c>
      <c r="B10" s="240">
        <f>2007912.81+1506246.47+71071.56</f>
        <v>3585230.8400000003</v>
      </c>
      <c r="C10" s="240">
        <f>17384.1+695.1+120.6+390.8+699.81+879.76+5005.24+14328.52+1422583.18</f>
        <v>1462087.1099999999</v>
      </c>
    </row>
    <row r="11" spans="1:3" x14ac:dyDescent="0.2">
      <c r="A11" t="s">
        <v>780</v>
      </c>
      <c r="B11" s="240">
        <f>100921.12+86699.65+81296.01+19321.31+950+96707.1</f>
        <v>385895.18999999994</v>
      </c>
      <c r="C11" s="240">
        <f>7398.09+177.92+24874.95</f>
        <v>32450.959999999999</v>
      </c>
    </row>
    <row r="12" spans="1:3" x14ac:dyDescent="0.2">
      <c r="A12" t="s">
        <v>781</v>
      </c>
      <c r="B12" s="240">
        <f>68823.97+40910.45+34407</f>
        <v>144141.41999999998</v>
      </c>
      <c r="C12" s="240">
        <f>2632.13+8888.49</f>
        <v>11520.619999999999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4115267.45</v>
      </c>
      <c r="C13" s="231">
        <f>SUM(C10:C12)</f>
        <v>1506058.69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1428817.69</v>
      </c>
      <c r="C18" s="229">
        <f>'DOE25'!G198+'DOE25'!G216+'DOE25'!G234+'DOE25'!G277+'DOE25'!G296+'DOE25'!G315</f>
        <v>436892.02</v>
      </c>
    </row>
    <row r="19" spans="1:3" x14ac:dyDescent="0.2">
      <c r="A19" t="s">
        <v>779</v>
      </c>
      <c r="B19" s="240">
        <f>602426.36+203381.9+14457.11</f>
        <v>820265.37</v>
      </c>
      <c r="C19" s="240">
        <f>96.8+165.88+1096.45+2096.78+311.32+391.37+246886.97+86634.74</f>
        <v>337680.31</v>
      </c>
    </row>
    <row r="20" spans="1:3" x14ac:dyDescent="0.2">
      <c r="A20" t="s">
        <v>780</v>
      </c>
      <c r="B20" s="240">
        <f>405748.46+45772.36</f>
        <v>451520.82</v>
      </c>
      <c r="C20" s="240">
        <f>3501.58+35016.09</f>
        <v>38517.67</v>
      </c>
    </row>
    <row r="21" spans="1:3" x14ac:dyDescent="0.2">
      <c r="A21" t="s">
        <v>781</v>
      </c>
      <c r="B21" s="240">
        <f>83229.92+43950.04+3635.2+26216.34</f>
        <v>157031.5</v>
      </c>
      <c r="C21" s="240">
        <f>2283.64+41504.1+16906.3</f>
        <v>60694.039999999994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1428817.69</v>
      </c>
      <c r="C22" s="231">
        <f>SUM(C19:C21)</f>
        <v>436892.01999999996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72082.12</v>
      </c>
      <c r="C36" s="235">
        <f>'DOE25'!G200+'DOE25'!G218+'DOE25'!G236+'DOE25'!G279+'DOE25'!G298+'DOE25'!G317</f>
        <v>7370.69</v>
      </c>
    </row>
    <row r="37" spans="1:3" x14ac:dyDescent="0.2">
      <c r="A37" t="s">
        <v>779</v>
      </c>
      <c r="B37" s="240">
        <f>19819.52+11800</f>
        <v>31619.52</v>
      </c>
      <c r="C37" s="240">
        <v>2513.02</v>
      </c>
    </row>
    <row r="38" spans="1:3" x14ac:dyDescent="0.2">
      <c r="A38" t="s">
        <v>780</v>
      </c>
      <c r="B38" s="240">
        <f>5595.6</f>
        <v>5595.6</v>
      </c>
      <c r="C38" s="240">
        <v>428.06</v>
      </c>
    </row>
    <row r="39" spans="1:3" x14ac:dyDescent="0.2">
      <c r="A39" t="s">
        <v>781</v>
      </c>
      <c r="B39" s="240">
        <v>34867</v>
      </c>
      <c r="C39" s="240">
        <v>4429.6099999999997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72082.12</v>
      </c>
      <c r="C40" s="231">
        <f>SUM(C37:C39)</f>
        <v>7370.69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SEABROOK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7636092.2800000003</v>
      </c>
      <c r="D5" s="20">
        <f>SUM('DOE25'!L197:L200)+SUM('DOE25'!L215:L218)+SUM('DOE25'!L233:L236)-F5-G5</f>
        <v>7607254.0700000003</v>
      </c>
      <c r="E5" s="243"/>
      <c r="F5" s="255">
        <f>SUM('DOE25'!J197:J200)+SUM('DOE25'!J215:J218)+SUM('DOE25'!J233:J236)</f>
        <v>19105.71</v>
      </c>
      <c r="G5" s="53">
        <f>SUM('DOE25'!K197:K200)+SUM('DOE25'!K215:K218)+SUM('DOE25'!K233:K236)</f>
        <v>9732.5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578390.49</v>
      </c>
      <c r="D6" s="20">
        <f>'DOE25'!L202+'DOE25'!L220+'DOE25'!L238-F6-G6</f>
        <v>578390.49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659445.24</v>
      </c>
      <c r="D7" s="20">
        <f>'DOE25'!L203+'DOE25'!L221+'DOE25'!L239-F7-G7</f>
        <v>562908.28</v>
      </c>
      <c r="E7" s="243"/>
      <c r="F7" s="255">
        <f>'DOE25'!J203+'DOE25'!J221+'DOE25'!J239</f>
        <v>96536.960000000006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247473.76999999996</v>
      </c>
      <c r="D8" s="243"/>
      <c r="E8" s="20">
        <f>'DOE25'!L204+'DOE25'!L222+'DOE25'!L240-F8-G8-D9-D11</f>
        <v>241383.95999999996</v>
      </c>
      <c r="F8" s="255">
        <f>'DOE25'!J204+'DOE25'!J222+'DOE25'!J240</f>
        <v>0</v>
      </c>
      <c r="G8" s="53">
        <f>'DOE25'!K204+'DOE25'!K222+'DOE25'!K240</f>
        <v>6089.81</v>
      </c>
      <c r="H8" s="259"/>
    </row>
    <row r="9" spans="1:9" x14ac:dyDescent="0.2">
      <c r="A9" s="32">
        <v>2310</v>
      </c>
      <c r="B9" t="s">
        <v>818</v>
      </c>
      <c r="C9" s="245">
        <f t="shared" si="0"/>
        <v>51499.47</v>
      </c>
      <c r="D9" s="244">
        <v>51499.47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11850</v>
      </c>
      <c r="D10" s="243"/>
      <c r="E10" s="244">
        <v>11850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116395.64</v>
      </c>
      <c r="D11" s="244">
        <v>116395.64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623248.15</v>
      </c>
      <c r="D12" s="20">
        <f>'DOE25'!L205+'DOE25'!L223+'DOE25'!L241-F12-G12</f>
        <v>620575.26</v>
      </c>
      <c r="E12" s="243"/>
      <c r="F12" s="255">
        <f>'DOE25'!J205+'DOE25'!J223+'DOE25'!J241</f>
        <v>0</v>
      </c>
      <c r="G12" s="53">
        <f>'DOE25'!K205+'DOE25'!K223+'DOE25'!K241</f>
        <v>2672.89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1084493.28</v>
      </c>
      <c r="D14" s="20">
        <f>'DOE25'!L207+'DOE25'!L225+'DOE25'!L243-F14-G14</f>
        <v>1055935</v>
      </c>
      <c r="E14" s="243"/>
      <c r="F14" s="255">
        <f>'DOE25'!J207+'DOE25'!J225+'DOE25'!J243</f>
        <v>28513.280000000002</v>
      </c>
      <c r="G14" s="53">
        <f>'DOE25'!K207+'DOE25'!K225+'DOE25'!K243</f>
        <v>45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720249.18</v>
      </c>
      <c r="D15" s="20">
        <f>'DOE25'!L208+'DOE25'!L226+'DOE25'!L244-F15-G15</f>
        <v>720249.18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7105.44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7105.44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156987.91</v>
      </c>
      <c r="D22" s="243"/>
      <c r="E22" s="243"/>
      <c r="F22" s="255">
        <f>'DOE25'!L255+'DOE25'!L336</f>
        <v>156987.91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136341.01999999999</v>
      </c>
      <c r="D25" s="243"/>
      <c r="E25" s="243"/>
      <c r="F25" s="258"/>
      <c r="G25" s="256"/>
      <c r="H25" s="257">
        <f>'DOE25'!L260+'DOE25'!L261+'DOE25'!L341+'DOE25'!L342</f>
        <v>136341.01999999999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202646.89</v>
      </c>
      <c r="D29" s="20">
        <f>'DOE25'!L358+'DOE25'!L359+'DOE25'!L360-'DOE25'!I367-F29-G29</f>
        <v>196166.91</v>
      </c>
      <c r="E29" s="243"/>
      <c r="F29" s="255">
        <f>'DOE25'!J358+'DOE25'!J359+'DOE25'!J360</f>
        <v>1923.54</v>
      </c>
      <c r="G29" s="53">
        <f>'DOE25'!K358+'DOE25'!K359+'DOE25'!K360</f>
        <v>4556.4399999999996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459920.14000000007</v>
      </c>
      <c r="D31" s="20">
        <f>'DOE25'!L290+'DOE25'!L309+'DOE25'!L328+'DOE25'!L333+'DOE25'!L334+'DOE25'!L335-F31-G31</f>
        <v>430383.44000000006</v>
      </c>
      <c r="E31" s="243"/>
      <c r="F31" s="255">
        <f>'DOE25'!J290+'DOE25'!J309+'DOE25'!J328+'DOE25'!J333+'DOE25'!J334+'DOE25'!J335</f>
        <v>19593.75</v>
      </c>
      <c r="G31" s="53">
        <f>'DOE25'!K290+'DOE25'!K309+'DOE25'!K328+'DOE25'!K333+'DOE25'!K334+'DOE25'!K335</f>
        <v>9942.9500000000007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11939757.74</v>
      </c>
      <c r="E33" s="246">
        <f>SUM(E5:E31)</f>
        <v>253233.95999999996</v>
      </c>
      <c r="F33" s="246">
        <f>SUM(F5:F31)</f>
        <v>322661.14999999997</v>
      </c>
      <c r="G33" s="246">
        <f>SUM(G5:G31)</f>
        <v>40145.03</v>
      </c>
      <c r="H33" s="246">
        <f>SUM(H5:H31)</f>
        <v>136341.01999999999</v>
      </c>
    </row>
    <row r="35" spans="2:8" ht="12" thickBot="1" x14ac:dyDescent="0.25">
      <c r="B35" s="253" t="s">
        <v>847</v>
      </c>
      <c r="D35" s="254">
        <f>E33</f>
        <v>253233.95999999996</v>
      </c>
      <c r="E35" s="249"/>
    </row>
    <row r="36" spans="2:8" ht="12" thickTop="1" x14ac:dyDescent="0.2">
      <c r="B36" t="s">
        <v>815</v>
      </c>
      <c r="D36" s="20">
        <f>D33</f>
        <v>11939757.74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SEABROOK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518075.81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172415.45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96523.54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35139.43</v>
      </c>
      <c r="D12" s="95">
        <f>'DOE25'!G13</f>
        <v>19462.91</v>
      </c>
      <c r="E12" s="95">
        <f>'DOE25'!H13</f>
        <v>82656.84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16057.44</v>
      </c>
      <c r="D13" s="95">
        <f>'DOE25'!G14</f>
        <v>331.84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4210.8100000000004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665796.22</v>
      </c>
      <c r="D18" s="41">
        <f>SUM(D8:D17)</f>
        <v>24005.56</v>
      </c>
      <c r="E18" s="41">
        <f>SUM(E8:E17)</f>
        <v>82656.84</v>
      </c>
      <c r="F18" s="41">
        <f>SUM(F8:F17)</f>
        <v>0</v>
      </c>
      <c r="G18" s="41">
        <f>SUM(G8:G17)</f>
        <v>172415.45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13866.7</v>
      </c>
      <c r="E21" s="95">
        <f>'DOE25'!H22</f>
        <v>79029.14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61321.440000000002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48389.85</v>
      </c>
      <c r="D27" s="95">
        <f>'DOE25'!G28</f>
        <v>2948.48</v>
      </c>
      <c r="E27" s="95">
        <f>'DOE25'!H28</f>
        <v>3627.7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36927.090000000004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34469.96</v>
      </c>
      <c r="D29" s="95">
        <f>'DOE25'!G30</f>
        <v>2701.62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181108.34</v>
      </c>
      <c r="D31" s="41">
        <f>SUM(D21:D30)</f>
        <v>19516.8</v>
      </c>
      <c r="E31" s="41">
        <f>SUM(E21:E30)</f>
        <v>82656.84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4210.8100000000004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277.95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3963.5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172415.45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107519.15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298205.23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484687.88</v>
      </c>
      <c r="D50" s="41">
        <f>SUM(D34:D49)</f>
        <v>4488.76</v>
      </c>
      <c r="E50" s="41">
        <f>SUM(E34:E49)</f>
        <v>0</v>
      </c>
      <c r="F50" s="41">
        <f>SUM(F34:F49)</f>
        <v>0</v>
      </c>
      <c r="G50" s="41">
        <f>SUM(G34:G49)</f>
        <v>172415.45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665796.22</v>
      </c>
      <c r="D51" s="41">
        <f>D50+D31</f>
        <v>24005.559999999998</v>
      </c>
      <c r="E51" s="41">
        <f>E50+E31</f>
        <v>82656.84</v>
      </c>
      <c r="F51" s="41">
        <f>F50+F31</f>
        <v>0</v>
      </c>
      <c r="G51" s="41">
        <f>G50+G31</f>
        <v>172415.45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8885439.1600000001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4418.5600000000004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316.18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3171.43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81971.759999999995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106942.72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111677.46</v>
      </c>
      <c r="D62" s="130">
        <f>SUM(D57:D61)</f>
        <v>81971.759999999995</v>
      </c>
      <c r="E62" s="130">
        <f>SUM(E57:E61)</f>
        <v>0</v>
      </c>
      <c r="F62" s="130">
        <f>SUM(F57:F61)</f>
        <v>0</v>
      </c>
      <c r="G62" s="130">
        <f>SUM(G57:G61)</f>
        <v>3171.43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8997116.620000001</v>
      </c>
      <c r="D63" s="22">
        <f>D56+D62</f>
        <v>81971.759999999995</v>
      </c>
      <c r="E63" s="22">
        <f>E56+E62</f>
        <v>0</v>
      </c>
      <c r="F63" s="22">
        <f>F56+F62</f>
        <v>0</v>
      </c>
      <c r="G63" s="22">
        <f>G56+G62</f>
        <v>3171.43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776015.3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2174776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2950791.3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33500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79672.95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4821.53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113172.95</v>
      </c>
      <c r="D78" s="130">
        <f>SUM(D72:D77)</f>
        <v>4821.53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3063964.25</v>
      </c>
      <c r="D81" s="130">
        <f>SUM(D79:D80)+D78+D70</f>
        <v>4821.53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77170.539999999994</v>
      </c>
      <c r="D88" s="95">
        <f>SUM('DOE25'!G153:G161)</f>
        <v>231272.71000000002</v>
      </c>
      <c r="E88" s="95">
        <f>SUM('DOE25'!H153:H161)</f>
        <v>459920.14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20296.330000000002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77170.539999999994</v>
      </c>
      <c r="D91" s="131">
        <f>SUM(D85:D90)</f>
        <v>251569.04000000004</v>
      </c>
      <c r="E91" s="131">
        <f>SUM(E85:E90)</f>
        <v>459920.14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14500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14500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765</v>
      </c>
      <c r="C104" s="86">
        <f>C63+C81+C91+C103</f>
        <v>12138251.41</v>
      </c>
      <c r="D104" s="86">
        <f>D63+D81+D91+D103</f>
        <v>352862.33</v>
      </c>
      <c r="E104" s="86">
        <f>E63+E81+E91+E103</f>
        <v>459920.14</v>
      </c>
      <c r="F104" s="86">
        <f>F63+F81+F91+F103</f>
        <v>0</v>
      </c>
      <c r="G104" s="86">
        <f>G63+G81+G103</f>
        <v>48171.43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5536363.9500000002</v>
      </c>
      <c r="D109" s="24" t="s">
        <v>289</v>
      </c>
      <c r="E109" s="95">
        <f>('DOE25'!L276)+('DOE25'!L295)+('DOE25'!L314)</f>
        <v>273691.55000000005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2021395.67</v>
      </c>
      <c r="D110" s="24" t="s">
        <v>289</v>
      </c>
      <c r="E110" s="95">
        <f>('DOE25'!L277)+('DOE25'!L296)+('DOE25'!L315)</f>
        <v>140428.00999999998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78332.66</v>
      </c>
      <c r="D112" s="24" t="s">
        <v>289</v>
      </c>
      <c r="E112" s="95">
        <f>+('DOE25'!L279)+('DOE25'!L298)+('DOE25'!L317)</f>
        <v>20336.68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33567.589999999997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7669659.8700000001</v>
      </c>
      <c r="D115" s="86">
        <f>SUM(D109:D114)</f>
        <v>0</v>
      </c>
      <c r="E115" s="86">
        <f>SUM(E109:E114)</f>
        <v>434456.24000000005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578390.49</v>
      </c>
      <c r="D118" s="24" t="s">
        <v>289</v>
      </c>
      <c r="E118" s="95">
        <f>+('DOE25'!L281)+('DOE25'!L300)+('DOE25'!L319)</f>
        <v>7470.95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659445.24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415368.87999999995</v>
      </c>
      <c r="D120" s="24" t="s">
        <v>289</v>
      </c>
      <c r="E120" s="95">
        <f>+('DOE25'!L283)+('DOE25'!L302)+('DOE25'!L321)</f>
        <v>9892.9500000000007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623248.15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1084493.28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720249.18</v>
      </c>
      <c r="D124" s="24" t="s">
        <v>289</v>
      </c>
      <c r="E124" s="95">
        <f>+('DOE25'!L287)+('DOE25'!L306)+('DOE25'!L325)</f>
        <v>8100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7105.44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351963.88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4088300.66</v>
      </c>
      <c r="D128" s="86">
        <f>SUM(D118:D127)</f>
        <v>351963.88</v>
      </c>
      <c r="E128" s="86">
        <f>SUM(E118:E127)</f>
        <v>25463.9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156987.91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114000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22341.02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14500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48171.43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-3171.4300000000003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352828.93000000005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12110789.460000001</v>
      </c>
      <c r="D145" s="86">
        <f>(D115+D128+D144)</f>
        <v>351963.88</v>
      </c>
      <c r="E145" s="86">
        <f>(E115+E128+E144)</f>
        <v>459920.14000000007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April 2010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April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1780093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1.26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1383093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1383093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136341.01999999999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136341.01999999999</v>
      </c>
    </row>
    <row r="159" spans="1:9" x14ac:dyDescent="0.2">
      <c r="A159" s="22" t="s">
        <v>35</v>
      </c>
      <c r="B159" s="137">
        <f>'DOE25'!F498</f>
        <v>1269093.03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1269093.03</v>
      </c>
    </row>
    <row r="160" spans="1:9" x14ac:dyDescent="0.2">
      <c r="A160" s="22" t="s">
        <v>36</v>
      </c>
      <c r="B160" s="137">
        <f>'DOE25'!F499</f>
        <v>78096.09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78096.09</v>
      </c>
    </row>
    <row r="161" spans="1:7" x14ac:dyDescent="0.2">
      <c r="A161" s="22" t="s">
        <v>37</v>
      </c>
      <c r="B161" s="137">
        <f>'DOE25'!F500</f>
        <v>1347189.12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1347189.12</v>
      </c>
    </row>
    <row r="162" spans="1:7" x14ac:dyDescent="0.2">
      <c r="A162" s="22" t="s">
        <v>38</v>
      </c>
      <c r="B162" s="137">
        <f>'DOE25'!F501</f>
        <v>118672.87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118672.87</v>
      </c>
    </row>
    <row r="163" spans="1:7" x14ac:dyDescent="0.2">
      <c r="A163" s="22" t="s">
        <v>39</v>
      </c>
      <c r="B163" s="137">
        <f>'DOE25'!F502</f>
        <v>15242.940000000002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15242.940000000002</v>
      </c>
    </row>
    <row r="164" spans="1:7" x14ac:dyDescent="0.2">
      <c r="A164" s="22" t="s">
        <v>246</v>
      </c>
      <c r="B164" s="137">
        <f>'DOE25'!F503</f>
        <v>133915.81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133915.81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SEABROOK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16888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16888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5810056</v>
      </c>
      <c r="D10" s="182">
        <f>ROUND((C10/$C$28)*100,1)</f>
        <v>46.4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2161824</v>
      </c>
      <c r="D11" s="182">
        <f>ROUND((C11/$C$28)*100,1)</f>
        <v>17.3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98669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585861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659445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432367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623248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1084493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728349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33568</v>
      </c>
      <c r="D23" s="182">
        <f t="shared" si="0"/>
        <v>0.3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22341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269992.24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12510213.24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156988</v>
      </c>
    </row>
    <row r="30" spans="1:4" x14ac:dyDescent="0.2">
      <c r="B30" s="187" t="s">
        <v>729</v>
      </c>
      <c r="C30" s="180">
        <f>SUM(C28:C29)</f>
        <v>12667201.24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114000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8885439</v>
      </c>
      <c r="D35" s="182">
        <f t="shared" ref="D35:D40" si="1">ROUND((C35/$C$41)*100,1)</f>
        <v>69.099999999999994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114849.05000000075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2950791</v>
      </c>
      <c r="D37" s="182">
        <f t="shared" si="1"/>
        <v>22.9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117994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788660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12857733.050000001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SEABROOK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2015-09-02T18:42:03Z</cp:lastPrinted>
  <dcterms:created xsi:type="dcterms:W3CDTF">1997-12-04T19:04:30Z</dcterms:created>
  <dcterms:modified xsi:type="dcterms:W3CDTF">2015-09-21T13:11:05Z</dcterms:modified>
</cp:coreProperties>
</file>