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4" i="1" l="1"/>
  <c r="J233" i="1"/>
  <c r="I233" i="1"/>
  <c r="J243" i="1" l="1"/>
  <c r="J238" i="1"/>
  <c r="I238" i="1"/>
  <c r="J236" i="1"/>
  <c r="I236" i="1"/>
  <c r="H236" i="1"/>
  <c r="I243" i="1"/>
  <c r="I613" i="1"/>
  <c r="G613" i="1"/>
  <c r="F31" i="1" l="1"/>
  <c r="F24" i="1"/>
  <c r="H613" i="1" l="1"/>
  <c r="F613" i="1"/>
  <c r="J595" i="1" l="1"/>
  <c r="H244" i="1"/>
  <c r="H582" i="1"/>
  <c r="H367" i="1"/>
  <c r="I360" i="1"/>
  <c r="G158" i="1"/>
  <c r="F110" i="1" l="1"/>
  <c r="B21" i="12" l="1"/>
  <c r="H584" i="1"/>
  <c r="H575" i="1"/>
  <c r="G533" i="1"/>
  <c r="G523" i="1"/>
  <c r="F533" i="1"/>
  <c r="F523" i="1"/>
  <c r="G179" i="1"/>
  <c r="J360" i="1"/>
  <c r="H233" i="1"/>
  <c r="B12" i="12" l="1"/>
  <c r="H528" i="1" l="1"/>
  <c r="J592" i="1"/>
  <c r="H459" i="1"/>
  <c r="J472" i="1" l="1"/>
  <c r="J468" i="1"/>
  <c r="I48" i="1"/>
  <c r="F50" i="1"/>
  <c r="H543" i="1" l="1"/>
  <c r="I472" i="1" l="1"/>
  <c r="H468" i="1" l="1"/>
  <c r="I468" i="1"/>
  <c r="H45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E13" i="13" s="1"/>
  <c r="C13" i="13" s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0" i="2" s="1"/>
  <c r="L235" i="1"/>
  <c r="L236" i="1"/>
  <c r="C13" i="10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E125" i="2" s="1"/>
  <c r="L333" i="1"/>
  <c r="E114" i="2" s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L211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E113" i="2"/>
  <c r="D115" i="2"/>
  <c r="F115" i="2"/>
  <c r="G115" i="2"/>
  <c r="E119" i="2"/>
  <c r="E121" i="2"/>
  <c r="E123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H408" i="1" s="1"/>
  <c r="H644" i="1" s="1"/>
  <c r="I407" i="1"/>
  <c r="I408" i="1" s="1"/>
  <c r="F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F460" i="1"/>
  <c r="G460" i="1"/>
  <c r="H460" i="1"/>
  <c r="F461" i="1"/>
  <c r="G461" i="1"/>
  <c r="H640" i="1" s="1"/>
  <c r="J640" i="1" s="1"/>
  <c r="H470" i="1"/>
  <c r="I470" i="1"/>
  <c r="I476" i="1" s="1"/>
  <c r="H625" i="1" s="1"/>
  <c r="J470" i="1"/>
  <c r="J476" i="1" s="1"/>
  <c r="H626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9" i="1"/>
  <c r="H630" i="1"/>
  <c r="H631" i="1"/>
  <c r="H636" i="1"/>
  <c r="H637" i="1"/>
  <c r="H638" i="1"/>
  <c r="G639" i="1"/>
  <c r="H639" i="1"/>
  <c r="J639" i="1" s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G161" i="2"/>
  <c r="E103" i="2"/>
  <c r="E78" i="2"/>
  <c r="I169" i="1"/>
  <c r="J140" i="1"/>
  <c r="K550" i="1"/>
  <c r="J552" i="1"/>
  <c r="H140" i="1"/>
  <c r="F22" i="13"/>
  <c r="C22" i="13" s="1"/>
  <c r="H192" i="1"/>
  <c r="L570" i="1"/>
  <c r="G36" i="2"/>
  <c r="K605" i="1" l="1"/>
  <c r="G648" i="1" s="1"/>
  <c r="C112" i="2"/>
  <c r="I369" i="1"/>
  <c r="H634" i="1" s="1"/>
  <c r="J634" i="1" s="1"/>
  <c r="A40" i="12"/>
  <c r="J545" i="1"/>
  <c r="H545" i="1"/>
  <c r="L534" i="1"/>
  <c r="H552" i="1"/>
  <c r="K545" i="1"/>
  <c r="G545" i="1"/>
  <c r="F552" i="1"/>
  <c r="L524" i="1"/>
  <c r="G157" i="2"/>
  <c r="H461" i="1"/>
  <c r="H641" i="1" s="1"/>
  <c r="J641" i="1" s="1"/>
  <c r="I460" i="1"/>
  <c r="I461" i="1" s="1"/>
  <c r="H642" i="1" s="1"/>
  <c r="I446" i="1"/>
  <c r="G642" i="1" s="1"/>
  <c r="I257" i="1"/>
  <c r="I271" i="1" s="1"/>
  <c r="H257" i="1"/>
  <c r="H271" i="1" s="1"/>
  <c r="G62" i="2"/>
  <c r="G63" i="2" s="1"/>
  <c r="K598" i="1"/>
  <c r="G647" i="1" s="1"/>
  <c r="D29" i="13"/>
  <c r="C29" i="13" s="1"/>
  <c r="L362" i="1"/>
  <c r="E124" i="2"/>
  <c r="E120" i="2"/>
  <c r="C16" i="10"/>
  <c r="L328" i="1"/>
  <c r="L338" i="1" s="1"/>
  <c r="K338" i="1"/>
  <c r="K352" i="1" s="1"/>
  <c r="F338" i="1"/>
  <c r="F352" i="1" s="1"/>
  <c r="G257" i="1"/>
  <c r="G271" i="1" s="1"/>
  <c r="F257" i="1"/>
  <c r="F271" i="1" s="1"/>
  <c r="D14" i="13"/>
  <c r="C14" i="13" s="1"/>
  <c r="J257" i="1"/>
  <c r="J271" i="1" s="1"/>
  <c r="D7" i="13"/>
  <c r="C7" i="13" s="1"/>
  <c r="C119" i="2"/>
  <c r="D17" i="13"/>
  <c r="C17" i="13" s="1"/>
  <c r="K257" i="1"/>
  <c r="K271" i="1" s="1"/>
  <c r="C11" i="10"/>
  <c r="D5" i="13"/>
  <c r="C5" i="13" s="1"/>
  <c r="A13" i="12"/>
  <c r="G645" i="1"/>
  <c r="J645" i="1" s="1"/>
  <c r="J644" i="1"/>
  <c r="E62" i="2"/>
  <c r="E63" i="2" s="1"/>
  <c r="C78" i="2"/>
  <c r="C70" i="2"/>
  <c r="H52" i="1"/>
  <c r="H619" i="1" s="1"/>
  <c r="J619" i="1" s="1"/>
  <c r="G624" i="1"/>
  <c r="E31" i="2"/>
  <c r="D50" i="2"/>
  <c r="D31" i="2"/>
  <c r="D18" i="2"/>
  <c r="J617" i="1"/>
  <c r="L393" i="1"/>
  <c r="C138" i="2" s="1"/>
  <c r="E130" i="2"/>
  <c r="E144" i="2" s="1"/>
  <c r="C29" i="10"/>
  <c r="C25" i="10"/>
  <c r="H25" i="13"/>
  <c r="E122" i="2"/>
  <c r="E118" i="2"/>
  <c r="L290" i="1"/>
  <c r="F660" i="1" s="1"/>
  <c r="E109" i="2"/>
  <c r="E115" i="2" s="1"/>
  <c r="H661" i="1"/>
  <c r="D127" i="2"/>
  <c r="D128" i="2" s="1"/>
  <c r="D145" i="2" s="1"/>
  <c r="C21" i="10"/>
  <c r="H647" i="1"/>
  <c r="F662" i="1"/>
  <c r="I662" i="1" s="1"/>
  <c r="C124" i="2"/>
  <c r="G649" i="1"/>
  <c r="J649" i="1" s="1"/>
  <c r="D15" i="13"/>
  <c r="C15" i="13" s="1"/>
  <c r="C18" i="10"/>
  <c r="D12" i="13"/>
  <c r="C12" i="13" s="1"/>
  <c r="C118" i="2"/>
  <c r="D6" i="13"/>
  <c r="C6" i="13" s="1"/>
  <c r="C15" i="10"/>
  <c r="L247" i="1"/>
  <c r="C12" i="10"/>
  <c r="C111" i="2"/>
  <c r="C122" i="2"/>
  <c r="C19" i="10"/>
  <c r="C120" i="2"/>
  <c r="E8" i="13"/>
  <c r="C8" i="13" s="1"/>
  <c r="J651" i="1"/>
  <c r="J571" i="1"/>
  <c r="L427" i="1"/>
  <c r="L256" i="1"/>
  <c r="C123" i="2"/>
  <c r="C114" i="2"/>
  <c r="L270" i="1"/>
  <c r="K551" i="1"/>
  <c r="F112" i="1"/>
  <c r="C35" i="10"/>
  <c r="C56" i="2"/>
  <c r="H112" i="1"/>
  <c r="H193" i="1" s="1"/>
  <c r="G629" i="1" s="1"/>
  <c r="J629" i="1" s="1"/>
  <c r="I545" i="1"/>
  <c r="C20" i="10"/>
  <c r="L401" i="1"/>
  <c r="C139" i="2" s="1"/>
  <c r="L351" i="1"/>
  <c r="F661" i="1"/>
  <c r="L229" i="1"/>
  <c r="G660" i="1" s="1"/>
  <c r="C10" i="10"/>
  <c r="E16" i="13"/>
  <c r="C17" i="10"/>
  <c r="I52" i="1"/>
  <c r="H620" i="1" s="1"/>
  <c r="J620" i="1" s="1"/>
  <c r="G625" i="1"/>
  <c r="J625" i="1" s="1"/>
  <c r="B164" i="2"/>
  <c r="G164" i="2" s="1"/>
  <c r="K503" i="1"/>
  <c r="G156" i="2"/>
  <c r="E142" i="2"/>
  <c r="C121" i="2"/>
  <c r="C18" i="2"/>
  <c r="C132" i="2"/>
  <c r="I551" i="1"/>
  <c r="I552" i="1" s="1"/>
  <c r="L539" i="1"/>
  <c r="G549" i="1"/>
  <c r="L529" i="1"/>
  <c r="F130" i="2"/>
  <c r="F144" i="2" s="1"/>
  <c r="F145" i="2" s="1"/>
  <c r="G661" i="1"/>
  <c r="G81" i="2"/>
  <c r="C62" i="2"/>
  <c r="G112" i="1"/>
  <c r="J338" i="1"/>
  <c r="J352" i="1" s="1"/>
  <c r="L382" i="1"/>
  <c r="G636" i="1" s="1"/>
  <c r="J636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A22" i="12"/>
  <c r="G50" i="2"/>
  <c r="J652" i="1"/>
  <c r="G571" i="1"/>
  <c r="I434" i="1"/>
  <c r="G434" i="1"/>
  <c r="I663" i="1"/>
  <c r="L352" i="1" l="1"/>
  <c r="G633" i="1" s="1"/>
  <c r="H646" i="1"/>
  <c r="L545" i="1"/>
  <c r="G635" i="1"/>
  <c r="G472" i="1"/>
  <c r="G51" i="2"/>
  <c r="J642" i="1"/>
  <c r="I193" i="1"/>
  <c r="G630" i="1" s="1"/>
  <c r="J630" i="1" s="1"/>
  <c r="C81" i="2"/>
  <c r="F193" i="1"/>
  <c r="C63" i="2"/>
  <c r="J647" i="1"/>
  <c r="C27" i="10"/>
  <c r="C28" i="10" s="1"/>
  <c r="D12" i="10" s="1"/>
  <c r="H660" i="1"/>
  <c r="I660" i="1" s="1"/>
  <c r="C115" i="2"/>
  <c r="F104" i="2"/>
  <c r="E104" i="2"/>
  <c r="C36" i="10"/>
  <c r="G664" i="1"/>
  <c r="G667" i="1" s="1"/>
  <c r="I661" i="1"/>
  <c r="F51" i="2"/>
  <c r="E51" i="2"/>
  <c r="D51" i="2"/>
  <c r="D31" i="13"/>
  <c r="C31" i="13" s="1"/>
  <c r="C144" i="2"/>
  <c r="E33" i="13"/>
  <c r="D35" i="13" s="1"/>
  <c r="C16" i="13"/>
  <c r="C128" i="2"/>
  <c r="F664" i="1"/>
  <c r="H648" i="1"/>
  <c r="J648" i="1" s="1"/>
  <c r="G104" i="2"/>
  <c r="E128" i="2"/>
  <c r="E145" i="2" s="1"/>
  <c r="K552" i="1"/>
  <c r="L257" i="1"/>
  <c r="L271" i="1" s="1"/>
  <c r="G552" i="1"/>
  <c r="K549" i="1"/>
  <c r="C25" i="13"/>
  <c r="H33" i="13"/>
  <c r="C51" i="2"/>
  <c r="G631" i="1"/>
  <c r="J631" i="1" s="1"/>
  <c r="J646" i="1"/>
  <c r="G193" i="1"/>
  <c r="G626" i="1"/>
  <c r="J626" i="1" s="1"/>
  <c r="J52" i="1"/>
  <c r="H621" i="1" s="1"/>
  <c r="J621" i="1" s="1"/>
  <c r="C38" i="10"/>
  <c r="C104" i="2" l="1"/>
  <c r="G627" i="1"/>
  <c r="F468" i="1"/>
  <c r="G628" i="1"/>
  <c r="G468" i="1"/>
  <c r="H472" i="1"/>
  <c r="H633" i="1" s="1"/>
  <c r="J633" i="1" s="1"/>
  <c r="G632" i="1"/>
  <c r="F472" i="1"/>
  <c r="H474" i="1"/>
  <c r="H476" i="1" s="1"/>
  <c r="H624" i="1" s="1"/>
  <c r="J624" i="1" s="1"/>
  <c r="G474" i="1"/>
  <c r="H635" i="1"/>
  <c r="J635" i="1" s="1"/>
  <c r="G672" i="1"/>
  <c r="C5" i="10" s="1"/>
  <c r="H664" i="1"/>
  <c r="H667" i="1" s="1"/>
  <c r="D33" i="13"/>
  <c r="D36" i="13" s="1"/>
  <c r="D19" i="10"/>
  <c r="D26" i="10"/>
  <c r="D15" i="10"/>
  <c r="D11" i="10"/>
  <c r="D16" i="10"/>
  <c r="D22" i="10"/>
  <c r="D27" i="10"/>
  <c r="D24" i="10"/>
  <c r="D20" i="10"/>
  <c r="D17" i="10"/>
  <c r="D10" i="10"/>
  <c r="C30" i="10"/>
  <c r="D23" i="10"/>
  <c r="D25" i="10"/>
  <c r="D13" i="10"/>
  <c r="D21" i="10"/>
  <c r="D18" i="10"/>
  <c r="I664" i="1"/>
  <c r="I672" i="1" s="1"/>
  <c r="C7" i="10" s="1"/>
  <c r="F672" i="1"/>
  <c r="C4" i="10" s="1"/>
  <c r="F667" i="1"/>
  <c r="C145" i="2"/>
  <c r="C41" i="10"/>
  <c r="D38" i="10" s="1"/>
  <c r="J627" i="1" l="1"/>
  <c r="F470" i="1"/>
  <c r="H627" i="1"/>
  <c r="G470" i="1"/>
  <c r="G476" i="1" s="1"/>
  <c r="H623" i="1" s="1"/>
  <c r="J623" i="1" s="1"/>
  <c r="H628" i="1"/>
  <c r="J628" i="1" s="1"/>
  <c r="H632" i="1"/>
  <c r="J632" i="1" s="1"/>
  <c r="F474" i="1"/>
  <c r="H672" i="1"/>
  <c r="C6" i="10" s="1"/>
  <c r="D28" i="10"/>
  <c r="I667" i="1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<sst xmlns="http://schemas.openxmlformats.org/spreadsheetml/2006/main" count="3959" uniqueCount="916">
  <si>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</si>
  <si>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</si>
  <si>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</si>
  <si>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</si>
  <si>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</si>
  <si>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</si>
  <si>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</si>
  <si>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</si>
  <si>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</si>
  <si>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</si>
  <si>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</si>
  <si>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</si>
  <si>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</si>
  <si>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</si>
  <si>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</si>
  <si>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</si>
  <si>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</si>
  <si>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</si>
  <si>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</si>
  <si>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</si>
  <si>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</si>
  <si>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</si>
  <si>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</si>
  <si>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</si>
  <si>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</si>
  <si>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</si>
  <si>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</si>
  <si>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</si>
  <si>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</si>
  <si>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</si>
  <si>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</si>
  <si>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</si>
  <si>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</si>
  <si>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</si>
  <si>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</si>
  <si>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</si>
  <si>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</si>
  <si>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</si>
  <si>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</si>
  <si>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</si>
  <si>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</si>
  <si>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</si>
  <si>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</si>
  <si>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</si>
  <si>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</si>
  <si>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</si>
  <si>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</si>
  <si>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</si>
  <si>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</si>
  <si>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</si>
  <si>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</si>
  <si>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</si>
  <si>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</si>
  <si>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</si>
  <si>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</si>
  <si>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</si>
  <si>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</si>
  <si>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</si>
  <si>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</si>
  <si>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</si>
  <si>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</si>
  <si>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</si>
  <si>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</si>
  <si>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</si>
  <si>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</si>
  <si>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</si>
  <si>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</si>
  <si>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</si>
  <si>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</si>
  <si>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</si>
  <si>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</si>
  <si>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</si>
  <si>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</si>
  <si>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</si>
  <si>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</si>
  <si>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</si>
  <si>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</si>
  <si>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</si>
  <si>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</si>
  <si>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</si>
  <si>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</si>
  <si>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</si>
  <si>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</si>
  <si>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</si>
  <si>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</si>
  <si>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</si>
  <si>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</si>
  <si>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</si>
  <si>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</si>
  <si>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</si>
  <si>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</si>
  <si>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</si>
  <si>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</si>
  <si>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</si>
  <si>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</si>
  <si>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</si>
  <si>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</si>
  <si>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</si>
  <si>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</si>
  <si>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</si>
  <si>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</si>
  <si>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</si>
  <si>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</si>
  <si>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</si>
  <si>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</si>
  <si>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</si>
  <si>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</si>
  <si>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</si>
  <si>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</si>
  <si>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</si>
  <si>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</si>
  <si>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</si>
  <si>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</si>
  <si>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</si>
  <si>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</si>
  <si>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</si>
  <si>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</si>
  <si>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</si>
  <si>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</si>
  <si>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</si>
  <si>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</si>
  <si>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</si>
  <si>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</si>
  <si>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</si>
  <si>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</si>
  <si>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</si>
  <si>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</si>
  <si>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</si>
  <si>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</si>
  <si>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</si>
  <si>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</si>
  <si>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</si>
  <si>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</si>
  <si>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</si>
  <si>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</si>
  <si>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</si>
  <si>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</si>
  <si>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</si>
  <si>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</si>
  <si>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</si>
  <si>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</si>
  <si>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</si>
  <si>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</si>
  <si>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</si>
  <si>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</si>
  <si>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</si>
  <si>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</si>
  <si>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</si>
  <si>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</si>
  <si>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</si>
  <si>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</si>
  <si>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</si>
  <si>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</si>
  <si>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</si>
  <si>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</si>
  <si>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</si>
  <si>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</si>
  <si>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</si>
  <si>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</si>
  <si>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</si>
  <si>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</si>
  <si>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</si>
  <si>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</si>
  <si>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</si>
  <si>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</si>
  <si>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</si>
  <si>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</si>
  <si>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</si>
  <si>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</si>
  <si>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</si>
  <si>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</si>
  <si>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</si>
  <si>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</si>
  <si>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</si>
  <si>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</si>
  <si>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</si>
  <si>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</si>
  <si>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</si>
  <si>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</si>
  <si>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</si>
  <si>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</si>
  <si>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</si>
  <si>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</si>
  <si>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</si>
  <si>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</si>
  <si>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</si>
  <si>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</si>
  <si>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</si>
  <si>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</si>
  <si>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</si>
  <si>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</si>
  <si>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</si>
  <si>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</si>
  <si>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</si>
  <si>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</si>
  <si>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</si>
  <si>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</si>
  <si>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</si>
  <si>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</si>
  <si>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</si>
  <si>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</si>
  <si>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</si>
  <si>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</si>
  <si>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</si>
  <si>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</si>
  <si>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</si>
  <si>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</si>
  <si>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</si>
  <si>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</si>
  <si>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</si>
  <si>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</si>
  <si>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</si>
  <si>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</si>
  <si>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</si>
  <si>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</si>
  <si>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</si>
  <si>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</si>
  <si>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</si>
  <si>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</si>
  <si>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</si>
  <si>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</si>
  <si>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</si>
  <si>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</si>
  <si>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</si>
  <si>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</si>
  <si>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</si>
  <si>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</si>
  <si>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</si>
  <si>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</si>
  <si>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</si>
  <si>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</si>
  <si>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</si>
  <si>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</si>
  <si>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</si>
  <si>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</si>
  <si>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</si>
  <si>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</si>
  <si>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</si>
  <si>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</si>
  <si>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</si>
  <si>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</si>
  <si>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</si>
  <si>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</si>
  <si>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</si>
  <si>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</si>
  <si>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</si>
  <si>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</si>
  <si>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</si>
  <si>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</si>
  <si>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</si>
  <si>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</si>
  <si>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</si>
  <si>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</si>
  <si>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</si>
  <si>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</si>
  <si>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</si>
  <si>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</si>
  <si>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</si>
  <si>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</si>
  <si>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</si>
  <si>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</si>
  <si>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</si>
  <si>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</si>
  <si>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</si>
  <si>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</si>
  <si>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</si>
  <si>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</si>
  <si>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</si>
  <si>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</si>
  <si>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</si>
  <si>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</si>
  <si>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</si>
  <si>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</si>
  <si>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</si>
  <si>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</si>
  <si>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</si>
  <si>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</si>
  <si>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</si>
  <si>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</si>
  <si>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</si>
  <si>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</si>
  <si>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</si>
  <si>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</si>
  <si>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</si>
  <si>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</si>
  <si>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</si>
  <si>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</si>
  <si>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</si>
  <si>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</si>
  <si>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</si>
  <si>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</si>
  <si>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</si>
  <si>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</si>
  <si>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</si>
  <si>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</si>
  <si>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</si>
  <si>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</si>
  <si>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</si>
  <si>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</si>
  <si>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</si>
  <si>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</si>
  <si>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</si>
  <si>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</si>
  <si>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</si>
  <si>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</si>
  <si>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</si>
  <si>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</si>
  <si>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</si>
  <si>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</si>
  <si>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</si>
  <si>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</si>
  <si>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</si>
  <si>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</si>
  <si>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</si>
  <si>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</si>
  <si>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</si>
  <si>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</si>
  <si>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</si>
  <si>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</si>
  <si>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</si>
  <si>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</si>
  <si>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</si>
  <si>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</si>
  <si>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</si>
  <si>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</si>
  <si>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</si>
  <si>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</si>
  <si>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</si>
  <si>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</si>
  <si>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</si>
  <si>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</si>
  <si>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</si>
  <si>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</si>
  <si>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</si>
  <si>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</si>
  <si>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</si>
  <si>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</si>
  <si>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</si>
  <si>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</si>
  <si>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</si>
  <si>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</si>
  <si>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</si>
  <si>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</si>
  <si>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</si>
  <si>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</si>
  <si>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</si>
  <si>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</si>
  <si>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</si>
  <si>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</si>
  <si>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</si>
  <si>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</si>
  <si>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</si>
  <si>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</si>
  <si>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</si>
  <si>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</si>
  <si>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</si>
  <si>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</si>
  <si>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</si>
  <si>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</si>
  <si>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</si>
  <si>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</si>
  <si>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</si>
  <si>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</si>
  <si>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</si>
  <si>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</si>
  <si>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</si>
  <si>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</si>
  <si>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</si>
  <si>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</si>
  <si>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</si>
  <si>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</si>
  <si>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</si>
  <si>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</si>
  <si>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</si>
  <si>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</si>
  <si>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</si>
  <si>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</si>
  <si>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</si>
  <si>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</si>
  <si>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</si>
  <si>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</si>
  <si>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</si>
  <si>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</si>
  <si>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</si>
  <si>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</si>
  <si>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</si>
  <si>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</si>
  <si>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</si>
  <si>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</si>
  <si>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</si>
  <si>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</si>
  <si>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</si>
  <si>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</si>
  <si>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</si>
  <si>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</si>
  <si>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</si>
  <si>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</si>
  <si>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</si>
  <si>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</si>
  <si>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</si>
  <si>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</si>
  <si>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</si>
  <si>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</si>
  <si>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</si>
  <si>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</si>
  <si>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</si>
  <si>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</si>
  <si>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</si>
  <si>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</si>
  <si>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</si>
  <si>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</si>
  <si>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</si>
  <si>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</si>
  <si>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</si>
  <si>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</si>
  <si>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</si>
  <si>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</si>
  <si>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</si>
  <si>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</si>
  <si>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</si>
  <si>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</si>
  <si>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</si>
  <si>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</si>
  <si>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</si>
  <si>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</si>
  <si>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</si>
  <si>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</si>
  <si>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</si>
  <si>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</si>
  <si>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</si>
  <si>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</si>
  <si>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</si>
  <si>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</si>
  <si>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</si>
  <si>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</si>
  <si>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</si>
  <si>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</si>
  <si>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</si>
  <si>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</si>
  <si>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</si>
  <si>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</si>
  <si>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</si>
  <si>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</si>
  <si>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</si>
  <si>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</si>
  <si>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</si>
  <si>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</si>
  <si>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</si>
  <si>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</si>
  <si>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</si>
  <si>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</si>
  <si>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</si>
  <si>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</si>
  <si>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</si>
  <si>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</si>
  <si>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</si>
  <si>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</si>
  <si>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</si>
  <si>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</si>
  <si>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</si>
  <si>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</si>
  <si>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</si>
  <si>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</si>
  <si>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</si>
  <si>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</si>
  <si>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</si>
  <si>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</si>
  <si>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</si>
  <si>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</si>
  <si>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</si>
  <si>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</si>
  <si>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</si>
  <si>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</si>
  <si>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</si>
  <si>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</si>
  <si>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</si>
  <si>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</si>
  <si>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</si>
  <si>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</si>
  <si>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</si>
  <si>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</si>
  <si>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</si>
  <si>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</si>
  <si>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</si>
  <si>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</si>
  <si>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</si>
  <si>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</si>
  <si>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</si>
  <si>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</si>
  <si>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</si>
  <si>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</si>
  <si>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</si>
  <si>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</si>
  <si>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</si>
  <si>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</si>
  <si>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</si>
  <si>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</si>
  <si>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</si>
  <si>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</si>
  <si>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</si>
  <si>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</si>
  <si>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</si>
  <si>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</si>
  <si>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</si>
  <si>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</si>
  <si>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</si>
  <si>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</si>
  <si>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</si>
  <si>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</si>
  <si>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</si>
  <si>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</si>
  <si>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</si>
  <si>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</si>
  <si>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</si>
  <si>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</si>
  <si>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</si>
  <si>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</si>
  <si>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</si>
  <si>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</si>
  <si>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</si>
  <si>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</si>
  <si>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</si>
  <si>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</si>
  <si>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</si>
  <si>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</si>
  <si>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</si>
  <si>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</si>
  <si>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</si>
  <si>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</si>
  <si>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</si>
  <si>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</si>
  <si>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</si>
  <si>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</si>
  <si>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</si>
  <si>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</si>
  <si>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</si>
  <si>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</si>
  <si>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</si>
  <si>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</si>
  <si>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</si>
  <si>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</si>
  <si>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</si>
  <si>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</si>
  <si>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</si>
  <si>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</si>
  <si>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</si>
  <si>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</si>
  <si>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</si>
  <si>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</si>
  <si>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</si>
  <si>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</si>
  <si>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</si>
  <si>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</si>
  <si>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</si>
  <si>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</si>
  <si>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</si>
  <si>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</si>
  <si>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</si>
  <si>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</si>
  <si>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</si>
  <si>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</si>
  <si>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</si>
  <si>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</si>
  <si>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</si>
  <si>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</si>
  <si>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</si>
  <si>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</si>
  <si>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</si>
  <si>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</si>
  <si>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</si>
  <si>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</si>
  <si>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</si>
  <si>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</si>
  <si>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</si>
  <si>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</si>
  <si>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</si>
  <si>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</si>
  <si>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</si>
  <si>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</si>
  <si>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</si>
  <si>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</si>
  <si>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</si>
  <si>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</si>
  <si>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</si>
  <si>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</si>
  <si>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</si>
  <si>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</si>
  <si>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</si>
  <si>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</si>
  <si>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</si>
  <si>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</si>
  <si>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</si>
  <si>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</si>
  <si>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</si>
  <si>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</si>
  <si>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</si>
  <si>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</si>
  <si>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</si>
  <si>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</si>
  <si>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</si>
  <si>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</si>
  <si>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</si>
  <si>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</si>
  <si>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</si>
  <si>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</si>
  <si>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</si>
  <si>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</si>
  <si>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</si>
  <si>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</si>
  <si>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</si>
  <si>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</si>
  <si>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</si>
  <si>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</si>
  <si>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</si>
  <si>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</si>
  <si>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</si>
  <si>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</si>
  <si>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</si>
  <si>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</si>
  <si>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</si>
  <si>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</si>
  <si>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</si>
  <si>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</si>
  <si>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</si>
  <si>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</si>
  <si>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</si>
  <si>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</si>
  <si>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</si>
  <si>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</si>
  <si>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</si>
  <si>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</si>
  <si>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</si>
  <si>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</si>
  <si>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</si>
  <si>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</si>
  <si>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</si>
  <si>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</si>
  <si>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</si>
  <si>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</si>
  <si>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</si>
  <si>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</si>
  <si>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</si>
  <si>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</si>
  <si>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</si>
  <si>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</si>
  <si>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</si>
  <si>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</si>
  <si>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</si>
  <si>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</si>
  <si>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</si>
  <si>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</si>
  <si>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</si>
  <si>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</si>
  <si>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</si>
  <si>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</si>
  <si>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</si>
  <si>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</si>
  <si>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</si>
  <si>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</si>
  <si>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</si>
  <si>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</si>
  <si>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</si>
  <si>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</si>
  <si>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</si>
  <si>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</si>
  <si>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</si>
  <si>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</si>
  <si>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</si>
  <si>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</si>
  <si>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</si>
  <si>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</si>
  <si>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</si>
  <si>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</si>
  <si>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</si>
  <si>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</si>
  <si>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</si>
  <si>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</si>
  <si>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</si>
  <si>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</si>
  <si>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</si>
  <si>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</si>
  <si>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</si>
  <si>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</si>
  <si>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</si>
  <si>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</si>
  <si>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</si>
  <si>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</si>
  <si>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</si>
  <si>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</si>
  <si>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</si>
  <si>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</si>
  <si>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</si>
  <si>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</si>
  <si>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</si>
  <si>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</si>
  <si>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</si>
  <si>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</si>
  <si>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</si>
  <si>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</si>
  <si>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</si>
  <si>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</si>
  <si>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</si>
  <si>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</si>
  <si>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</si>
  <si>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</si>
  <si>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</si>
  <si>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</si>
  <si>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</si>
  <si>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</si>
  <si>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</si>
  <si>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</si>
  <si>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</si>
  <si>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</si>
  <si>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</si>
  <si>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</si>
  <si>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</si>
  <si>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</si>
  <si>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</si>
  <si>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</si>
  <si>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</si>
  <si>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</si>
  <si>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</si>
  <si>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</si>
  <si>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</si>
  <si>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</si>
  <si>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</si>
  <si>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</si>
  <si>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</si>
  <si>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</si>
  <si>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</si>
  <si>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</si>
  <si>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</si>
  <si>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</si>
  <si>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</si>
  <si>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</si>
  <si>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</si>
  <si>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</si>
  <si>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</si>
  <si>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</si>
  <si>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</si>
  <si>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</si>
  <si>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</si>
  <si>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</si>
  <si>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</si>
  <si>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</si>
  <si>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</si>
  <si>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</si>
  <si>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</si>
  <si>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</si>
  <si>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</si>
  <si>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</si>
  <si>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</si>
  <si>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</si>
  <si>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</si>
  <si>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</si>
  <si>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</si>
  <si>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</si>
  <si>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</si>
  <si>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</si>
  <si>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</si>
  <si>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</si>
  <si>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</si>
  <si>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</si>
  <si>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</si>
  <si>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</si>
  <si>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</si>
  <si>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</si>
  <si>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</si>
  <si>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</si>
  <si>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</si>
  <si>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</si>
  <si>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</si>
  <si>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</si>
  <si>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</si>
  <si>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</si>
  <si>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</si>
  <si>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</si>
  <si>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</si>
  <si>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</si>
  <si>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</si>
  <si>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</si>
  <si>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</si>
  <si>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</si>
  <si>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</si>
  <si>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</si>
  <si>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</si>
  <si>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</si>
  <si>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</si>
  <si>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</si>
  <si>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</si>
  <si>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</si>
  <si>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</si>
  <si>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</si>
  <si>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</si>
  <si>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</si>
  <si>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</si>
  <si>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</si>
  <si>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</si>
  <si>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</si>
  <si>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</si>
  <si>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</si>
  <si>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</si>
  <si>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</si>
  <si>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</si>
  <si>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</si>
  <si>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</si>
  <si>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</si>
  <si>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</si>
  <si>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</si>
  <si>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</si>
  <si>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</si>
  <si>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</si>
  <si>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</si>
  <si>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</si>
  <si>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</si>
  <si>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</si>
  <si>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</si>
  <si>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</si>
  <si>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</si>
  <si>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</si>
  <si>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</si>
  <si>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</si>
  <si>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</si>
  <si>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</si>
  <si>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</si>
  <si>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</si>
  <si>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</si>
  <si>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</si>
  <si>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</si>
  <si>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</si>
  <si>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</si>
  <si>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</si>
  <si>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</si>
  <si>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</si>
  <si>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</si>
  <si>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</si>
  <si>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</si>
  <si>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</si>
  <si>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</si>
  <si>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</si>
  <si>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</si>
  <si>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</si>
  <si>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</si>
  <si>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</si>
  <si>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</si>
  <si>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</si>
  <si>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</si>
  <si>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</si>
  <si>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</si>
  <si>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</si>
  <si>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</si>
  <si>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</si>
  <si>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</si>
  <si>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</si>
  <si>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</si>
  <si>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</si>
  <si>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</si>
  <si>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</si>
  <si>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</si>
  <si>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</si>
  <si>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</si>
  <si>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</si>
  <si>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</si>
  <si>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</si>
  <si>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</si>
  <si>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</si>
  <si>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</si>
  <si>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</si>
  <si>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</si>
  <si>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</si>
  <si>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</si>
  <si>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</si>
  <si>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</si>
  <si>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</si>
  <si>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</si>
  <si>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</si>
  <si>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</si>
  <si>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</si>
  <si>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</si>
  <si>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</si>
  <si>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</si>
  <si>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</si>
  <si>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</si>
  <si>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</si>
  <si>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</si>
  <si>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</si>
  <si>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</si>
  <si>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</si>
  <si>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</si>
  <si>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</si>
  <si>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</si>
  <si>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</si>
  <si>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</si>
  <si>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</si>
  <si>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</si>
  <si>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</si>
  <si>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</si>
  <si>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</si>
  <si>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</si>
  <si>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</si>
  <si>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</si>
  <si>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</si>
  <si>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</si>
  <si>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</si>
  <si>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</si>
  <si>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</si>
  <si>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</si>
  <si>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</si>
  <si>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</si>
  <si>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</si>
  <si>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</si>
  <si>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Souhegan Cooperative School District</t>
  </si>
  <si>
    <t>Agency Funds</t>
  </si>
  <si>
    <t>Prior Year Audit Adjustment</t>
  </si>
  <si>
    <t>07/13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</si>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</sst>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493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136897.82</v>
      </c>
      <c r="G9" s="18">
        <v>0</v>
      </c>
      <c r="H9" s="18">
        <v>0</v>
      </c>
      <c r="I9" s="18">
        <v>7230.99</v>
      </c>
      <c r="J9" s="67">
        <f>SUM(I439)</f>
        <v>171272.49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692428.21</v>
      </c>
      <c r="G10" s="18">
        <v>0</v>
      </c>
      <c r="H10" s="18">
        <v>0</v>
      </c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165787.26</v>
      </c>
      <c r="G12" s="18">
        <v>8997.2900000000009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506.11</v>
      </c>
      <c r="G13" s="18">
        <v>5197.42</v>
      </c>
      <c r="H13" s="18">
        <v>42884.88</v>
      </c>
      <c r="I13" s="18"/>
      <c r="J13" s="67">
        <f>SUM(I442)</f>
        <v>497810.95999999996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2529.5</v>
      </c>
      <c r="G14" s="18">
        <v>66.989999999999995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8615.5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1006764.4</v>
      </c>
      <c r="G19" s="41">
        <f>SUM(G9:G18)</f>
        <v>14261.7</v>
      </c>
      <c r="H19" s="41">
        <f>SUM(H9:H18)</f>
        <v>42884.88</v>
      </c>
      <c r="I19" s="41">
        <f>SUM(I9:I18)</f>
        <v>7230.99</v>
      </c>
      <c r="J19" s="41">
        <f>SUM(J9:J18)</f>
        <v>669083.44999999995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142629.32999999999</v>
      </c>
      <c r="G22" s="18">
        <v>0</v>
      </c>
      <c r="H22" s="18">
        <v>31701.94</v>
      </c>
      <c r="I22" s="18">
        <v>50</v>
      </c>
      <c r="J22" s="67">
        <f>SUM(I448)</f>
        <v>403.28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8154.97</v>
      </c>
      <c r="G23" s="18">
        <v>14261.7</v>
      </c>
      <c r="H23" s="18">
        <v>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3040.43-0.3</f>
        <v>3040.1299999999997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4671.55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8498.27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5089.38</v>
      </c>
      <c r="G30" s="18">
        <v>0</v>
      </c>
      <c r="H30" s="18">
        <v>11182.94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111110.4</f>
        <v>111110.39999999999</v>
      </c>
      <c r="G31" s="18">
        <v>0</v>
      </c>
      <c r="H31" s="18">
        <v>0</v>
      </c>
      <c r="I31" s="18"/>
      <c r="J31" s="67">
        <f>SUM(I451)</f>
        <v>171272.49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283194.02999999997</v>
      </c>
      <c r="G32" s="41">
        <f>SUM(G22:G31)</f>
        <v>14261.7</v>
      </c>
      <c r="H32" s="41">
        <f>SUM(H22:H31)</f>
        <v>42884.88</v>
      </c>
      <c r="I32" s="41">
        <f>SUM(I22:I31)</f>
        <v>50</v>
      </c>
      <c r="J32" s="41">
        <f>SUM(J22:J31)</f>
        <v>171675.77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f>7177.37+3.62</f>
        <v>7180.99</v>
      </c>
      <c r="J48" s="13">
        <f>SUM(I459)</f>
        <v>497407.68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143510.33+722689.37+-142629.33</f>
        <v>723570.37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723570.37</v>
      </c>
      <c r="G51" s="41">
        <f>SUM(G35:G50)</f>
        <v>0</v>
      </c>
      <c r="H51" s="41">
        <f>SUM(H35:H50)</f>
        <v>0</v>
      </c>
      <c r="I51" s="41">
        <f>SUM(I35:I50)</f>
        <v>7180.99</v>
      </c>
      <c r="J51" s="41">
        <f>SUM(J35:J50)</f>
        <v>497407.68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1006764.3999999999</v>
      </c>
      <c r="G52" s="41">
        <f>G51+G32</f>
        <v>14261.7</v>
      </c>
      <c r="H52" s="41">
        <f>H51+H32</f>
        <v>42884.88</v>
      </c>
      <c r="I52" s="41">
        <f>I51+I32</f>
        <v>7230.99</v>
      </c>
      <c r="J52" s="41">
        <f>J51+J32</f>
        <v>669083.44999999995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13271452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13271452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66292.479999999996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13716.67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7620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87629.15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4139.1099999999997</v>
      </c>
      <c r="G96" s="18"/>
      <c r="H96" s="18"/>
      <c r="I96" s="18">
        <v>3.62</v>
      </c>
      <c r="J96" s="18">
        <v>-763.49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325370.78999999998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133830.54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6904.25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3140.43</v>
      </c>
      <c r="G102" s="18"/>
      <c r="H102" s="18">
        <v>20988.76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>
        <v>0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426.34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1289.6099999999999</v>
      </c>
      <c r="G109" s="18">
        <v>134.36000000000001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9.5-0.03</f>
        <v>9.4700000000000006</v>
      </c>
      <c r="G110" s="18">
        <v>2609.5700000000002</v>
      </c>
      <c r="H110" s="18"/>
      <c r="I110" s="18"/>
      <c r="J110" s="18">
        <v>10154.17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149739.74999999997</v>
      </c>
      <c r="G111" s="41">
        <f>SUM(G96:G110)</f>
        <v>328114.71999999997</v>
      </c>
      <c r="H111" s="41">
        <f>SUM(H96:H110)</f>
        <v>20988.76</v>
      </c>
      <c r="I111" s="41">
        <f>SUM(I96:I110)</f>
        <v>3.62</v>
      </c>
      <c r="J111" s="41">
        <f>SUM(J96:J110)</f>
        <v>9390.68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13508820.9</v>
      </c>
      <c r="G112" s="41">
        <f>G60+G111</f>
        <v>328114.71999999997</v>
      </c>
      <c r="H112" s="41">
        <f>H60+H79+H94+H111</f>
        <v>20988.76</v>
      </c>
      <c r="I112" s="41">
        <f>I60+I111</f>
        <v>3.62</v>
      </c>
      <c r="J112" s="41">
        <f>J60+J111</f>
        <v>9390.68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1687708.17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1631631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3319339.17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241047.95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2332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810.22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243379.95</v>
      </c>
      <c r="G136" s="41">
        <f>SUM(G123:G135)</f>
        <v>810.22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3562719.12</v>
      </c>
      <c r="G140" s="41">
        <f>G121+SUM(G136:G137)</f>
        <v>810.22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19724.55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24643.32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22437.29+11222.74</f>
        <v>33660.03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180311.06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137032.07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137032.07</v>
      </c>
      <c r="G162" s="41">
        <f>SUM(G150:G161)</f>
        <v>33660.03</v>
      </c>
      <c r="H162" s="41">
        <f>SUM(H150:H161)</f>
        <v>224678.93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137032.07</v>
      </c>
      <c r="G169" s="41">
        <f>G147+G162+SUM(G163:G168)</f>
        <v>33660.03</v>
      </c>
      <c r="H169" s="41">
        <f>H147+H162+SUM(H163:H168)</f>
        <v>224678.93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10029.45+1500</f>
        <v>11529.45</v>
      </c>
      <c r="H179" s="18"/>
      <c r="I179" s="18"/>
      <c r="J179" s="18">
        <v>65000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11529.45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11529.45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17208572.09</v>
      </c>
      <c r="G193" s="47">
        <f>G112+G140+G169+G192</f>
        <v>374114.42</v>
      </c>
      <c r="H193" s="47">
        <f>H112+H140+H169+H192</f>
        <v>245667.69</v>
      </c>
      <c r="I193" s="47">
        <f>I112+I140+I169+I192</f>
        <v>3.62</v>
      </c>
      <c r="J193" s="47">
        <f>J112+J140+J192</f>
        <v>74390.679999999993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5122715.29</v>
      </c>
      <c r="G233" s="18">
        <v>1812925.88</v>
      </c>
      <c r="H233" s="18">
        <f>68745.96</f>
        <v>68745.960000000006</v>
      </c>
      <c r="I233" s="18">
        <f>207152.12-3158-596</f>
        <v>203398.12</v>
      </c>
      <c r="J233" s="18">
        <f>171542.51+3158+596</f>
        <v>175296.51</v>
      </c>
      <c r="K233" s="18">
        <v>1609</v>
      </c>
      <c r="L233" s="19">
        <f>SUM(F233:K233)</f>
        <v>7384690.7599999998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1444918.08</v>
      </c>
      <c r="G234" s="18">
        <v>632126.68000000005</v>
      </c>
      <c r="H234" s="18">
        <v>762877.3</v>
      </c>
      <c r="I234" s="18">
        <v>8335.74</v>
      </c>
      <c r="J234" s="18">
        <v>2922.28</v>
      </c>
      <c r="K234" s="18">
        <v>530</v>
      </c>
      <c r="L234" s="19">
        <f>SUM(F234:K234)</f>
        <v>2851710.0800000005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180203.97</v>
      </c>
      <c r="G236" s="18">
        <v>25705.47</v>
      </c>
      <c r="H236" s="18">
        <f>154623.22+500</f>
        <v>155123.22</v>
      </c>
      <c r="I236" s="18">
        <f>67462.49-2474.37-448.95-395.6-500-790</f>
        <v>62853.570000000007</v>
      </c>
      <c r="J236" s="18">
        <f>11865+448.95+395.6+790</f>
        <v>13499.550000000001</v>
      </c>
      <c r="K236" s="18">
        <v>14062.5</v>
      </c>
      <c r="L236" s="19">
        <f>SUM(F236:K236)</f>
        <v>451448.28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854009.22</v>
      </c>
      <c r="G238" s="18">
        <v>358202.75</v>
      </c>
      <c r="H238" s="18">
        <v>391890.13</v>
      </c>
      <c r="I238" s="18">
        <f>9760.72-1946.64-997.98</f>
        <v>6816.0999999999985</v>
      </c>
      <c r="J238" s="18">
        <f>4828.2+1946.64+997.98</f>
        <v>7772.82</v>
      </c>
      <c r="K238" s="18">
        <v>1155</v>
      </c>
      <c r="L238" s="19">
        <f t="shared" ref="L238:L244" si="4">SUM(F238:K238)</f>
        <v>1619846.0200000003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279187.19</v>
      </c>
      <c r="G239" s="18">
        <v>161013.01</v>
      </c>
      <c r="H239" s="18">
        <v>3451.84</v>
      </c>
      <c r="I239" s="18">
        <v>58087.37</v>
      </c>
      <c r="J239" s="18">
        <v>0</v>
      </c>
      <c r="K239" s="18">
        <v>320</v>
      </c>
      <c r="L239" s="19">
        <f t="shared" si="4"/>
        <v>502059.41000000003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8259.64</v>
      </c>
      <c r="G240" s="18">
        <v>554.85</v>
      </c>
      <c r="H240" s="18">
        <v>787597.8</v>
      </c>
      <c r="I240" s="18">
        <v>177.93</v>
      </c>
      <c r="J240" s="18">
        <v>0</v>
      </c>
      <c r="K240" s="18">
        <v>5115.88</v>
      </c>
      <c r="L240" s="19">
        <f t="shared" si="4"/>
        <v>801706.10000000009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476089.92</v>
      </c>
      <c r="G241" s="18">
        <v>191638.98</v>
      </c>
      <c r="H241" s="18">
        <v>40315.82</v>
      </c>
      <c r="I241" s="18">
        <v>11177.09</v>
      </c>
      <c r="J241" s="18">
        <v>16880.189999999999</v>
      </c>
      <c r="K241" s="18">
        <v>11114.21</v>
      </c>
      <c r="L241" s="19">
        <f t="shared" si="4"/>
        <v>747216.20999999985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3032.4</v>
      </c>
      <c r="I242" s="18">
        <v>0</v>
      </c>
      <c r="J242" s="18">
        <v>0</v>
      </c>
      <c r="K242" s="18">
        <v>0</v>
      </c>
      <c r="L242" s="19">
        <f t="shared" si="4"/>
        <v>3032.4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418016.19</v>
      </c>
      <c r="G243" s="18">
        <v>185470.51</v>
      </c>
      <c r="H243" s="18">
        <v>247944.14</v>
      </c>
      <c r="I243" s="18">
        <f>338728.45-2035.95</f>
        <v>336692.5</v>
      </c>
      <c r="J243" s="18">
        <f>15924.18+2035.95</f>
        <v>17960.13</v>
      </c>
      <c r="K243" s="18">
        <v>51.5</v>
      </c>
      <c r="L243" s="19">
        <f t="shared" si="4"/>
        <v>1206134.9699999997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f>670812.79+2474.37</f>
        <v>673287.16</v>
      </c>
      <c r="I244" s="18">
        <v>126.9</v>
      </c>
      <c r="J244" s="18">
        <v>0</v>
      </c>
      <c r="K244" s="18">
        <v>0</v>
      </c>
      <c r="L244" s="19">
        <f t="shared" si="4"/>
        <v>673414.06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174761</v>
      </c>
      <c r="G245" s="18">
        <v>53326.57</v>
      </c>
      <c r="H245" s="18">
        <v>21535.49</v>
      </c>
      <c r="I245" s="18">
        <v>40584.47</v>
      </c>
      <c r="J245" s="18">
        <v>62270.39</v>
      </c>
      <c r="K245" s="18">
        <v>0</v>
      </c>
      <c r="L245" s="19">
        <f>SUM(F245:K245)</f>
        <v>352477.92000000004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8958160.5</v>
      </c>
      <c r="G247" s="41">
        <f t="shared" si="5"/>
        <v>3420964.6999999997</v>
      </c>
      <c r="H247" s="41">
        <f t="shared" si="5"/>
        <v>3155801.2600000002</v>
      </c>
      <c r="I247" s="41">
        <f t="shared" si="5"/>
        <v>728249.78999999992</v>
      </c>
      <c r="J247" s="41">
        <f t="shared" si="5"/>
        <v>296601.87</v>
      </c>
      <c r="K247" s="41">
        <f t="shared" si="5"/>
        <v>33958.089999999997</v>
      </c>
      <c r="L247" s="41">
        <f t="shared" si="5"/>
        <v>16593736.209999997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4585</v>
      </c>
      <c r="G251" s="18">
        <v>507.48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5092.4799999999996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4585</v>
      </c>
      <c r="G256" s="41">
        <f t="shared" si="7"/>
        <v>507.48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5092.4799999999996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8962745.5</v>
      </c>
      <c r="G257" s="41">
        <f t="shared" si="8"/>
        <v>3421472.1799999997</v>
      </c>
      <c r="H257" s="41">
        <f t="shared" si="8"/>
        <v>3155801.2600000002</v>
      </c>
      <c r="I257" s="41">
        <f t="shared" si="8"/>
        <v>728249.78999999992</v>
      </c>
      <c r="J257" s="41">
        <f t="shared" si="8"/>
        <v>296601.87</v>
      </c>
      <c r="K257" s="41">
        <f t="shared" si="8"/>
        <v>33958.089999999997</v>
      </c>
      <c r="L257" s="41">
        <f t="shared" si="8"/>
        <v>16598828.689999998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160000</v>
      </c>
      <c r="L260" s="19">
        <f>SUM(F260:K260)</f>
        <v>160000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54222.5</v>
      </c>
      <c r="L261" s="19">
        <f>SUM(F261:K261)</f>
        <v>54222.5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10029.450000000001</v>
      </c>
      <c r="L263" s="19">
        <f>SUM(F263:K263)</f>
        <v>10029.450000000001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289251.95</v>
      </c>
      <c r="L270" s="41">
        <f t="shared" si="9"/>
        <v>289251.95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8962745.5</v>
      </c>
      <c r="G271" s="42">
        <f t="shared" si="11"/>
        <v>3421472.1799999997</v>
      </c>
      <c r="H271" s="42">
        <f t="shared" si="11"/>
        <v>3155801.2600000002</v>
      </c>
      <c r="I271" s="42">
        <f t="shared" si="11"/>
        <v>728249.78999999992</v>
      </c>
      <c r="J271" s="42">
        <f t="shared" si="11"/>
        <v>296601.87</v>
      </c>
      <c r="K271" s="42">
        <f t="shared" si="11"/>
        <v>323210.04000000004</v>
      </c>
      <c r="L271" s="42">
        <f t="shared" si="11"/>
        <v>16888080.639999997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10312.5</v>
      </c>
      <c r="G314" s="18">
        <v>1742.99</v>
      </c>
      <c r="H314" s="18">
        <v>500</v>
      </c>
      <c r="I314" s="18">
        <v>521.27</v>
      </c>
      <c r="J314" s="18">
        <v>7414.8</v>
      </c>
      <c r="K314" s="18">
        <v>0</v>
      </c>
      <c r="L314" s="19">
        <f>SUM(F314:K314)</f>
        <v>20491.560000000001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148151.94</v>
      </c>
      <c r="G315" s="18">
        <v>32159.119999999999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180311.06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4000</v>
      </c>
      <c r="G319" s="18">
        <v>789.08</v>
      </c>
      <c r="H319" s="18">
        <v>4378.1499999999996</v>
      </c>
      <c r="I319" s="18">
        <v>834.15</v>
      </c>
      <c r="J319" s="18">
        <v>0</v>
      </c>
      <c r="K319" s="18">
        <v>0</v>
      </c>
      <c r="L319" s="19">
        <f t="shared" ref="L319:L325" si="16">SUM(F319:K319)</f>
        <v>10001.379999999999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30025.42</v>
      </c>
      <c r="I320" s="18">
        <v>3338.27</v>
      </c>
      <c r="J320" s="18">
        <v>0</v>
      </c>
      <c r="K320" s="18">
        <v>0</v>
      </c>
      <c r="L320" s="19">
        <f t="shared" si="16"/>
        <v>33363.689999999995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162464.44</v>
      </c>
      <c r="G328" s="42">
        <f t="shared" si="17"/>
        <v>34691.19</v>
      </c>
      <c r="H328" s="42">
        <f t="shared" si="17"/>
        <v>34903.57</v>
      </c>
      <c r="I328" s="42">
        <f t="shared" si="17"/>
        <v>4693.6900000000005</v>
      </c>
      <c r="J328" s="42">
        <f t="shared" si="17"/>
        <v>7414.8</v>
      </c>
      <c r="K328" s="42">
        <f t="shared" si="17"/>
        <v>0</v>
      </c>
      <c r="L328" s="41">
        <f t="shared" si="17"/>
        <v>244167.69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162464.44</v>
      </c>
      <c r="G338" s="41">
        <f t="shared" si="20"/>
        <v>34691.19</v>
      </c>
      <c r="H338" s="41">
        <f t="shared" si="20"/>
        <v>34903.57</v>
      </c>
      <c r="I338" s="41">
        <f t="shared" si="20"/>
        <v>4693.6900000000005</v>
      </c>
      <c r="J338" s="41">
        <f t="shared" si="20"/>
        <v>7414.8</v>
      </c>
      <c r="K338" s="41">
        <f t="shared" si="20"/>
        <v>0</v>
      </c>
      <c r="L338" s="41">
        <f t="shared" si="20"/>
        <v>244167.69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1500</v>
      </c>
      <c r="L345" s="19">
        <f t="shared" si="21"/>
        <v>1500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1500</v>
      </c>
      <c r="L351" s="41">
        <f>SUM(L341:L350)</f>
        <v>1500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162464.44</v>
      </c>
      <c r="G352" s="41">
        <f>G338</f>
        <v>34691.19</v>
      </c>
      <c r="H352" s="41">
        <f>H338</f>
        <v>34903.57</v>
      </c>
      <c r="I352" s="41">
        <f>I338</f>
        <v>4693.6900000000005</v>
      </c>
      <c r="J352" s="41">
        <f>J338</f>
        <v>7414.8</v>
      </c>
      <c r="K352" s="47">
        <f>K338+K351</f>
        <v>1500</v>
      </c>
      <c r="L352" s="41">
        <f>L338+L351</f>
        <v>245667.69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156054.51999999999</v>
      </c>
      <c r="G360" s="18">
        <v>74008.509999999995</v>
      </c>
      <c r="H360" s="18">
        <v>2231.12</v>
      </c>
      <c r="I360" s="18">
        <f>125008.32+11222.74</f>
        <v>136231.06</v>
      </c>
      <c r="J360" s="18">
        <f>2525+1500</f>
        <v>4025</v>
      </c>
      <c r="K360" s="18">
        <v>1712.03</v>
      </c>
      <c r="L360" s="19">
        <f>SUM(F360:K360)</f>
        <v>374262.24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156054.51999999999</v>
      </c>
      <c r="G362" s="47">
        <f t="shared" si="22"/>
        <v>74008.509999999995</v>
      </c>
      <c r="H362" s="47">
        <f t="shared" si="22"/>
        <v>2231.12</v>
      </c>
      <c r="I362" s="47">
        <f t="shared" si="22"/>
        <v>136231.06</v>
      </c>
      <c r="J362" s="47">
        <f t="shared" si="22"/>
        <v>4025</v>
      </c>
      <c r="K362" s="47">
        <f t="shared" si="22"/>
        <v>1712.03</v>
      </c>
      <c r="L362" s="47">
        <f t="shared" si="22"/>
        <v>374262.24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f>116821.76+11222.74</f>
        <v>128044.5</v>
      </c>
      <c r="I367" s="56">
        <f>SUM(F367:H367)</f>
        <v>128044.5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8186.56</v>
      </c>
      <c r="I368" s="56">
        <f>SUM(F368:H368)</f>
        <v>8186.56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136231.06</v>
      </c>
      <c r="I369" s="47">
        <f>SUM(I367:I368)</f>
        <v>136231.06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65000</v>
      </c>
      <c r="H396" s="18">
        <v>189.27</v>
      </c>
      <c r="I396" s="18"/>
      <c r="J396" s="24" t="s">
        <v>289</v>
      </c>
      <c r="K396" s="24" t="s">
        <v>289</v>
      </c>
      <c r="L396" s="56">
        <f t="shared" si="26"/>
        <v>65189.27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-1020.68</v>
      </c>
      <c r="I397" s="18"/>
      <c r="J397" s="24" t="s">
        <v>289</v>
      </c>
      <c r="K397" s="24" t="s">
        <v>289</v>
      </c>
      <c r="L397" s="56">
        <f t="shared" si="26"/>
        <v>-1020.68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67.92</v>
      </c>
      <c r="I400" s="18"/>
      <c r="J400" s="24" t="s">
        <v>289</v>
      </c>
      <c r="K400" s="24" t="s">
        <v>289</v>
      </c>
      <c r="L400" s="56">
        <f t="shared" si="26"/>
        <v>67.92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65000</v>
      </c>
      <c r="H401" s="47">
        <f>SUM(H395:H400)</f>
        <v>-763.49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64236.509999999995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>
        <v>10154.17</v>
      </c>
      <c r="J403" s="24" t="s">
        <v>289</v>
      </c>
      <c r="K403" s="24" t="s">
        <v>289</v>
      </c>
      <c r="L403" s="56">
        <f>SUM(F403:K403)</f>
        <v>10154.17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10154.17</v>
      </c>
      <c r="J407" s="49" t="s">
        <v>289</v>
      </c>
      <c r="K407" s="49" t="s">
        <v>289</v>
      </c>
      <c r="L407" s="47">
        <f>SUM(L403:L406)</f>
        <v>10154.17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-763.49</v>
      </c>
      <c r="I408" s="47">
        <f>I393+I401+I407</f>
        <v>10154.17</v>
      </c>
      <c r="J408" s="24" t="s">
        <v>289</v>
      </c>
      <c r="K408" s="24" t="s">
        <v>289</v>
      </c>
      <c r="L408" s="47">
        <f>L393+L401+L407</f>
        <v>74390.679999999993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>
        <v>8550.6</v>
      </c>
      <c r="G429" s="18">
        <v>1597.98</v>
      </c>
      <c r="H429" s="18"/>
      <c r="I429" s="18"/>
      <c r="J429" s="18"/>
      <c r="K429" s="18"/>
      <c r="L429" s="56">
        <f>SUM(F429:K429)</f>
        <v>10148.58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8550.6</v>
      </c>
      <c r="G433" s="47">
        <f t="shared" si="31"/>
        <v>1597.98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10148.58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8550.6</v>
      </c>
      <c r="G434" s="47">
        <f t="shared" si="32"/>
        <v>1597.98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10148.58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v>171272.49</v>
      </c>
      <c r="I439" s="56">
        <f t="shared" ref="I439:I445" si="33">SUM(F439:H439)</f>
        <v>171272.49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496992.99</v>
      </c>
      <c r="H442" s="18">
        <v>817.97</v>
      </c>
      <c r="I442" s="56">
        <f t="shared" si="33"/>
        <v>497810.95999999996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496992.99</v>
      </c>
      <c r="H446" s="13">
        <f>SUM(H439:H445)</f>
        <v>172090.46</v>
      </c>
      <c r="I446" s="13">
        <f>SUM(I439:I445)</f>
        <v>669083.44999999995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>
        <v>403.28</v>
      </c>
      <c r="I448" s="56">
        <f>SUM(F448:H448)</f>
        <v>403.28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>
        <f>167663.96+3608.53</f>
        <v>171272.49</v>
      </c>
      <c r="I451" s="56">
        <f>SUM(F451:H451)</f>
        <v>171272.49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171675.77</v>
      </c>
      <c r="I452" s="72">
        <f>SUM(I448:I451)</f>
        <v>171675.77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496992.99</v>
      </c>
      <c r="H459" s="18">
        <f>409.1+5.59</f>
        <v>414.69</v>
      </c>
      <c r="I459" s="56">
        <f t="shared" si="34"/>
        <v>497407.68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496992.99</v>
      </c>
      <c r="H460" s="83">
        <f>SUM(H454:H459)</f>
        <v>414.69</v>
      </c>
      <c r="I460" s="83">
        <f>SUM(I454:I459)</f>
        <v>497407.68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496992.99</v>
      </c>
      <c r="H461" s="42">
        <f>H452+H460</f>
        <v>172090.46</v>
      </c>
      <c r="I461" s="42">
        <f>I452+I460</f>
        <v>669083.44999999995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403078.92</v>
      </c>
      <c r="G465" s="18">
        <v>147.82</v>
      </c>
      <c r="H465" s="18">
        <v>0</v>
      </c>
      <c r="I465" s="18">
        <v>7177.37</v>
      </c>
      <c r="J465" s="18">
        <v>403553.01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17208572.09</v>
      </c>
      <c r="G468" s="18">
        <f t="shared" ref="G468:I468" si="35">G193</f>
        <v>374114.42</v>
      </c>
      <c r="H468" s="18">
        <f t="shared" si="35"/>
        <v>245667.69</v>
      </c>
      <c r="I468" s="18">
        <f t="shared" si="35"/>
        <v>3.62</v>
      </c>
      <c r="J468" s="18">
        <f>J193</f>
        <v>74390.679999999993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29612.57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17208572.09</v>
      </c>
      <c r="G470" s="53">
        <f>SUM(G468:G469)</f>
        <v>374114.42</v>
      </c>
      <c r="H470" s="53">
        <f>SUM(H468:H469)</f>
        <v>245667.69</v>
      </c>
      <c r="I470" s="53">
        <f>SUM(I468:I469)</f>
        <v>3.62</v>
      </c>
      <c r="J470" s="53">
        <f>SUM(J468:J469)</f>
        <v>104003.25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16888080.639999997</v>
      </c>
      <c r="G472" s="18">
        <f>L362</f>
        <v>374262.24</v>
      </c>
      <c r="H472" s="18">
        <f>L352</f>
        <v>245667.69</v>
      </c>
      <c r="I472" s="18">
        <f>L382</f>
        <v>0</v>
      </c>
      <c r="J472" s="18">
        <f>L434</f>
        <v>10148.58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16888080.639999997</v>
      </c>
      <c r="G474" s="53">
        <f>SUM(G472:G473)</f>
        <v>374262.24</v>
      </c>
      <c r="H474" s="53">
        <f>SUM(H472:H473)</f>
        <v>245667.69</v>
      </c>
      <c r="I474" s="53">
        <f>SUM(I472:I473)</f>
        <v>0</v>
      </c>
      <c r="J474" s="53">
        <f>SUM(J472:J473)</f>
        <v>10148.58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723570.37000000477</v>
      </c>
      <c r="G476" s="53">
        <f>(G465+G470)- G474</f>
        <v>0</v>
      </c>
      <c r="H476" s="53">
        <f>(H465+H470)- H474</f>
        <v>0</v>
      </c>
      <c r="I476" s="53">
        <f>(I465+I470)- I474</f>
        <v>7180.99</v>
      </c>
      <c r="J476" s="53">
        <f>(J465+J470)- J474</f>
        <v>497407.68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7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1090000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1090000</v>
      </c>
      <c r="G495" s="18"/>
      <c r="H495" s="18"/>
      <c r="I495" s="18"/>
      <c r="J495" s="18"/>
      <c r="K495" s="53">
        <f>SUM(F495:J495)</f>
        <v>1090000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160000</v>
      </c>
      <c r="G497" s="18"/>
      <c r="H497" s="18"/>
      <c r="I497" s="18"/>
      <c r="J497" s="18"/>
      <c r="K497" s="53">
        <f t="shared" si="36"/>
        <v>160000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930000</v>
      </c>
      <c r="G498" s="204"/>
      <c r="H498" s="204"/>
      <c r="I498" s="204"/>
      <c r="J498" s="204"/>
      <c r="K498" s="205">
        <f t="shared" si="36"/>
        <v>930000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150233.75</v>
      </c>
      <c r="G499" s="18"/>
      <c r="H499" s="18"/>
      <c r="I499" s="18"/>
      <c r="J499" s="18"/>
      <c r="K499" s="53">
        <f t="shared" si="36"/>
        <v>150233.75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1080233.75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1080233.75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155000</v>
      </c>
      <c r="G501" s="204"/>
      <c r="H501" s="204"/>
      <c r="I501" s="204"/>
      <c r="J501" s="204"/>
      <c r="K501" s="205">
        <f t="shared" si="36"/>
        <v>155000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46190</v>
      </c>
      <c r="G502" s="18"/>
      <c r="H502" s="18"/>
      <c r="I502" s="18"/>
      <c r="J502" s="18"/>
      <c r="K502" s="53">
        <f t="shared" si="36"/>
        <v>46190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201190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201190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1593070.02-41664.5-83461.54</f>
        <v>1467943.98</v>
      </c>
      <c r="G523" s="18">
        <f>664285.8-21375.37-38098.78</f>
        <v>604811.65</v>
      </c>
      <c r="H523" s="18">
        <v>762877.3</v>
      </c>
      <c r="I523" s="18">
        <v>8335.74</v>
      </c>
      <c r="J523" s="18">
        <v>2922.28</v>
      </c>
      <c r="K523" s="18">
        <v>530</v>
      </c>
      <c r="L523" s="88">
        <f>SUM(F523:K523)</f>
        <v>2847420.9499999997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1467943.98</v>
      </c>
      <c r="G524" s="108">
        <f t="shared" ref="G524:L524" si="37">SUM(G521:G523)</f>
        <v>604811.65</v>
      </c>
      <c r="H524" s="108">
        <f t="shared" si="37"/>
        <v>762877.3</v>
      </c>
      <c r="I524" s="108">
        <f t="shared" si="37"/>
        <v>8335.74</v>
      </c>
      <c r="J524" s="108">
        <f t="shared" si="37"/>
        <v>2922.28</v>
      </c>
      <c r="K524" s="108">
        <f t="shared" si="37"/>
        <v>530</v>
      </c>
      <c r="L524" s="89">
        <f t="shared" si="37"/>
        <v>2847420.9499999997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204420</v>
      </c>
      <c r="G528" s="18">
        <v>94540.479999999996</v>
      </c>
      <c r="H528" s="18">
        <f>308350.09+2378.15</f>
        <v>310728.24000000005</v>
      </c>
      <c r="I528" s="18">
        <v>1777.45</v>
      </c>
      <c r="J528" s="18">
        <v>0</v>
      </c>
      <c r="K528" s="18">
        <v>0</v>
      </c>
      <c r="L528" s="88">
        <f>SUM(F528:K528)</f>
        <v>611466.16999999993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204420</v>
      </c>
      <c r="G529" s="89">
        <f t="shared" ref="G529:L529" si="38">SUM(G526:G528)</f>
        <v>94540.479999999996</v>
      </c>
      <c r="H529" s="89">
        <f t="shared" si="38"/>
        <v>310728.24000000005</v>
      </c>
      <c r="I529" s="89">
        <f t="shared" si="38"/>
        <v>1777.45</v>
      </c>
      <c r="J529" s="89">
        <f t="shared" si="38"/>
        <v>0</v>
      </c>
      <c r="K529" s="89">
        <f t="shared" si="38"/>
        <v>0</v>
      </c>
      <c r="L529" s="89">
        <f t="shared" si="38"/>
        <v>611466.16999999993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41664.5+83461.54</f>
        <v>125126.04</v>
      </c>
      <c r="G533" s="18">
        <f>21375.37+38098.78</f>
        <v>59474.149999999994</v>
      </c>
      <c r="H533" s="18">
        <v>12999.03</v>
      </c>
      <c r="I533" s="18"/>
      <c r="J533" s="18"/>
      <c r="K533" s="18"/>
      <c r="L533" s="88">
        <f>SUM(F533:K533)</f>
        <v>197599.22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125126.04</v>
      </c>
      <c r="G534" s="89">
        <f t="shared" ref="G534:L534" si="39">SUM(G531:G533)</f>
        <v>59474.149999999994</v>
      </c>
      <c r="H534" s="89">
        <f t="shared" si="39"/>
        <v>12999.03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197599.22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830.95</v>
      </c>
      <c r="I538" s="18"/>
      <c r="J538" s="18"/>
      <c r="K538" s="18"/>
      <c r="L538" s="88">
        <f>SUM(F538:K538)</f>
        <v>830.95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830.95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830.95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271775.52+2263.53</f>
        <v>274039.05000000005</v>
      </c>
      <c r="I543" s="18">
        <v>126.9</v>
      </c>
      <c r="J543" s="18"/>
      <c r="K543" s="18"/>
      <c r="L543" s="88">
        <f>SUM(F543:K543)</f>
        <v>274165.95000000007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274039.05000000005</v>
      </c>
      <c r="I544" s="193">
        <f t="shared" si="41"/>
        <v>126.9</v>
      </c>
      <c r="J544" s="193">
        <f t="shared" si="41"/>
        <v>0</v>
      </c>
      <c r="K544" s="193">
        <f t="shared" si="41"/>
        <v>0</v>
      </c>
      <c r="L544" s="193">
        <f t="shared" si="41"/>
        <v>274165.95000000007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1797490.02</v>
      </c>
      <c r="G545" s="89">
        <f t="shared" ref="G545:L545" si="42">G524+G529+G534+G539+G544</f>
        <v>758826.28</v>
      </c>
      <c r="H545" s="89">
        <f t="shared" si="42"/>
        <v>1361474.57</v>
      </c>
      <c r="I545" s="89">
        <f t="shared" si="42"/>
        <v>10240.09</v>
      </c>
      <c r="J545" s="89">
        <f t="shared" si="42"/>
        <v>2922.28</v>
      </c>
      <c r="K545" s="89">
        <f t="shared" si="42"/>
        <v>530</v>
      </c>
      <c r="L545" s="89">
        <f t="shared" si="42"/>
        <v>3931483.24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2847420.9499999997</v>
      </c>
      <c r="G551" s="87">
        <f>L528</f>
        <v>611466.16999999993</v>
      </c>
      <c r="H551" s="87">
        <f>L533</f>
        <v>197599.22</v>
      </c>
      <c r="I551" s="87">
        <f>L538</f>
        <v>830.95</v>
      </c>
      <c r="J551" s="87">
        <f>L543</f>
        <v>274165.95000000007</v>
      </c>
      <c r="K551" s="87">
        <f>SUM(F551:J551)</f>
        <v>3931483.24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2847420.9499999997</v>
      </c>
      <c r="G552" s="89">
        <f t="shared" si="43"/>
        <v>611466.16999999993</v>
      </c>
      <c r="H552" s="89">
        <f t="shared" si="43"/>
        <v>197599.22</v>
      </c>
      <c r="I552" s="89">
        <f t="shared" si="43"/>
        <v>830.95</v>
      </c>
      <c r="J552" s="89">
        <f t="shared" si="43"/>
        <v>274165.95000000007</v>
      </c>
      <c r="K552" s="89">
        <f t="shared" si="43"/>
        <v>3931483.24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53045.54-21167.63-5934.92</f>
        <v>25942.989999999998</v>
      </c>
      <c r="I575" s="87">
        <f>SUM(F575:H575)</f>
        <v>25942.989999999998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3358.15</v>
      </c>
      <c r="I578" s="87">
        <f t="shared" si="48"/>
        <v>3358.15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0</v>
      </c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f>682693.49+2940</f>
        <v>685633.49</v>
      </c>
      <c r="I582" s="87">
        <f t="shared" si="48"/>
        <v>685633.49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21167.63+5934.92</f>
        <v>27102.550000000003</v>
      </c>
      <c r="I584" s="87">
        <f t="shared" si="48"/>
        <v>27102.550000000003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217356.86</v>
      </c>
      <c r="K591" s="104">
        <f t="shared" ref="K591:K597" si="49">SUM(H591:J591)</f>
        <v>217356.86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f>271775.52+2263.53+126.9+2574</f>
        <v>276739.95000000007</v>
      </c>
      <c r="K592" s="104">
        <f t="shared" si="49"/>
        <v>276739.95000000007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68774.649999999994</v>
      </c>
      <c r="K593" s="104">
        <f t="shared" si="49"/>
        <v>68774.649999999994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102068.23</v>
      </c>
      <c r="K594" s="104">
        <f t="shared" si="49"/>
        <v>102068.23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f>6000+2474.37</f>
        <v>8474.369999999999</v>
      </c>
      <c r="K595" s="104">
        <f t="shared" si="49"/>
        <v>8474.369999999999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673414.06</v>
      </c>
      <c r="K598" s="108">
        <f>SUM(K591:K597)</f>
        <v>673414.06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f>296601.87+8914.8-1500</f>
        <v>304016.67</v>
      </c>
      <c r="K604" s="104">
        <f>SUM(H604:J604)</f>
        <v>304016.67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304016.67</v>
      </c>
      <c r="K605" s="108">
        <f>SUM(K602:K604)</f>
        <v>304016.67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12677.5+3850+2400+7200</f>
        <v>26127.5</v>
      </c>
      <c r="G613" s="18">
        <f>10.69+183.84+1802.53+286.44+35.5+55.82+545.16+179.03+213.6+258.48+849.6+366.8</f>
        <v>4787.4900000000007</v>
      </c>
      <c r="H613" s="18">
        <f>500</f>
        <v>500</v>
      </c>
      <c r="I613" s="18">
        <f>521.27</f>
        <v>521.27</v>
      </c>
      <c r="J613" s="18">
        <v>7414.8</v>
      </c>
      <c r="K613" s="18"/>
      <c r="L613" s="88">
        <f>SUM(F613:K613)</f>
        <v>39351.060000000005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26127.5</v>
      </c>
      <c r="G614" s="108">
        <f t="shared" si="50"/>
        <v>4787.4900000000007</v>
      </c>
      <c r="H614" s="108">
        <f t="shared" si="50"/>
        <v>500</v>
      </c>
      <c r="I614" s="108">
        <f t="shared" si="50"/>
        <v>521.27</v>
      </c>
      <c r="J614" s="108">
        <f t="shared" si="50"/>
        <v>7414.8</v>
      </c>
      <c r="K614" s="108">
        <f t="shared" si="50"/>
        <v>0</v>
      </c>
      <c r="L614" s="89">
        <f t="shared" si="50"/>
        <v>39351.060000000005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1006764.4</v>
      </c>
      <c r="H617" s="109">
        <f>SUM(F52)</f>
        <v>1006764.3999999999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14261.7</v>
      </c>
      <c r="H618" s="109">
        <f>SUM(G52)</f>
        <v>14261.7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42884.88</v>
      </c>
      <c r="H619" s="109">
        <f>SUM(H52)</f>
        <v>42884.88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7230.99</v>
      </c>
      <c r="H620" s="109">
        <f>SUM(I52)</f>
        <v>7230.99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669083.44999999995</v>
      </c>
      <c r="H621" s="109">
        <f>SUM(J52)</f>
        <v>669083.44999999995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723570.37</v>
      </c>
      <c r="H622" s="109">
        <f>F476</f>
        <v>723570.37000000477</v>
      </c>
      <c r="I622" s="121" t="s">
        <v>101</v>
      </c>
      <c r="J622" s="109">
        <f t="shared" ref="J622:J655" si="51">G622-H622</f>
        <v>-4.7730281949043274E-9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7180.99</v>
      </c>
      <c r="H625" s="109">
        <f>I476</f>
        <v>7180.99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497407.68</v>
      </c>
      <c r="H626" s="109">
        <f>J476</f>
        <v>497407.68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17208572.09</v>
      </c>
      <c r="H627" s="104">
        <f>SUM(F468)</f>
        <v>17208572.09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374114.42</v>
      </c>
      <c r="H628" s="104">
        <f>SUM(G468)</f>
        <v>374114.42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245667.69</v>
      </c>
      <c r="H629" s="104">
        <f>SUM(H468)</f>
        <v>245667.69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3.62</v>
      </c>
      <c r="H630" s="104">
        <f>SUM(I468)</f>
        <v>3.62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74390.679999999993</v>
      </c>
      <c r="H631" s="104">
        <f>SUM(J468)</f>
        <v>74390.679999999993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16888080.639999997</v>
      </c>
      <c r="H632" s="104">
        <f>SUM(F472)</f>
        <v>16888080.639999997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245667.69</v>
      </c>
      <c r="H633" s="104">
        <f>SUM(H472)</f>
        <v>245667.69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136231.06</v>
      </c>
      <c r="H634" s="104">
        <f>I369</f>
        <v>136231.06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374262.24</v>
      </c>
      <c r="H635" s="104">
        <f>SUM(G472)</f>
        <v>374262.24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74390.679999999993</v>
      </c>
      <c r="H637" s="164">
        <f>SUM(J468)</f>
        <v>74390.679999999993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10148.58</v>
      </c>
      <c r="H638" s="164">
        <f>SUM(J472)</f>
        <v>10148.58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496992.99</v>
      </c>
      <c r="H640" s="104">
        <f>SUM(G461)</f>
        <v>496992.99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172090.46</v>
      </c>
      <c r="H641" s="104">
        <f>SUM(H461)</f>
        <v>172090.46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669083.44999999995</v>
      </c>
      <c r="H642" s="104">
        <f>SUM(I461)</f>
        <v>669083.44999999995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-763.49</v>
      </c>
      <c r="H644" s="104">
        <f>H408</f>
        <v>-763.49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65000</v>
      </c>
      <c r="H645" s="104">
        <f>G408</f>
        <v>65000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74390.679999999993</v>
      </c>
      <c r="H646" s="104">
        <f>L408</f>
        <v>74390.679999999993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673414.06</v>
      </c>
      <c r="H647" s="104">
        <f>L208+L226+L244</f>
        <v>673414.06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304016.67</v>
      </c>
      <c r="H648" s="104">
        <f>(J257+J338)-(J255+J336)</f>
        <v>304016.67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673414.06</v>
      </c>
      <c r="H651" s="104">
        <f>J598</f>
        <v>673414.06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11529.45</v>
      </c>
      <c r="H652" s="104">
        <f>K263+K345</f>
        <v>11529.45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65000</v>
      </c>
      <c r="H655" s="104">
        <f>K266+K347</f>
        <v>65000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17212166.139999997</v>
      </c>
      <c r="I660" s="19">
        <f>SUM(F660:H660)</f>
        <v>17212166.139999997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328114.71999999997</v>
      </c>
      <c r="I661" s="19">
        <f>SUM(F661:H661)</f>
        <v>328114.71999999997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673414.06</v>
      </c>
      <c r="I662" s="19">
        <f>SUM(F662:H662)</f>
        <v>673414.06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1085404.9100000001</v>
      </c>
      <c r="I663" s="19">
        <f>SUM(F663:H663)</f>
        <v>1085404.9100000001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15125232.449999997</v>
      </c>
      <c r="I664" s="19">
        <f>I660-SUM(I661:I663)</f>
        <v>15125232.449999997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841.81</v>
      </c>
      <c r="I665" s="19">
        <f>SUM(F665:H665)</f>
        <v>841.81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17967.509999999998</v>
      </c>
      <c r="I667" s="19">
        <f>ROUND(I664/I665,2)</f>
        <v>17967.509999999998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-5.51</v>
      </c>
      <c r="I670" s="19">
        <f>SUM(F670:H670)</f>
        <v>-5.51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18085.89</v>
      </c>
      <c r="I672" s="19">
        <f>ROUND((I664+I669)/(I665+I670),2)</f>
        <v>18085.89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Page &amp;P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Souhegan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5133027.79</v>
      </c>
      <c r="C9" s="229">
        <f>'DOE25'!G197+'DOE25'!G215+'DOE25'!G233+'DOE25'!G276+'DOE25'!G295+'DOE25'!G314</f>
        <v>1814668.8699999999</v>
      </c>
    </row>
    <row r="10" spans="1:3" x14ac:dyDescent="0.2">
      <c r="A10" t="s">
        <v>779</v>
      </c>
      <c r="B10" s="240">
        <v>4740269.9800000004</v>
      </c>
      <c r="C10" s="240">
        <v>1675818</v>
      </c>
    </row>
    <row r="11" spans="1:3" x14ac:dyDescent="0.2">
      <c r="A11" t="s">
        <v>780</v>
      </c>
      <c r="B11" s="240">
        <v>38104.269999999997</v>
      </c>
      <c r="C11" s="240">
        <v>13470.93</v>
      </c>
    </row>
    <row r="12" spans="1:3" x14ac:dyDescent="0.2">
      <c r="A12" t="s">
        <v>781</v>
      </c>
      <c r="B12" s="240">
        <f>353663.54+990</f>
        <v>354653.54</v>
      </c>
      <c r="C12" s="240">
        <v>125379.94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5133027.79</v>
      </c>
      <c r="C13" s="231">
        <f>SUM(C10:C12)</f>
        <v>1814668.8699999999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1593070.02</v>
      </c>
      <c r="C18" s="229">
        <f>'DOE25'!G198+'DOE25'!G216+'DOE25'!G234+'DOE25'!G277+'DOE25'!G296+'DOE25'!G315</f>
        <v>664285.80000000005</v>
      </c>
    </row>
    <row r="19" spans="1:3" x14ac:dyDescent="0.2">
      <c r="A19" t="s">
        <v>779</v>
      </c>
      <c r="B19" s="240">
        <v>979703.46</v>
      </c>
      <c r="C19" s="240">
        <v>408521.34</v>
      </c>
    </row>
    <row r="20" spans="1:3" x14ac:dyDescent="0.2">
      <c r="A20" t="s">
        <v>780</v>
      </c>
      <c r="B20" s="240">
        <v>472945.98</v>
      </c>
      <c r="C20" s="240">
        <v>197211.23</v>
      </c>
    </row>
    <row r="21" spans="1:3" x14ac:dyDescent="0.2">
      <c r="A21" t="s">
        <v>781</v>
      </c>
      <c r="B21" s="240">
        <f>140037.4+383.18</f>
        <v>140420.57999999999</v>
      </c>
      <c r="C21" s="240">
        <v>58553.23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1593070.02</v>
      </c>
      <c r="C22" s="231">
        <f>SUM(C19:C21)</f>
        <v>664285.80000000005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180203.97</v>
      </c>
      <c r="C36" s="235">
        <f>'DOE25'!G200+'DOE25'!G218+'DOE25'!G236+'DOE25'!G279+'DOE25'!G298+'DOE25'!G317</f>
        <v>25705.47</v>
      </c>
    </row>
    <row r="37" spans="1:3" x14ac:dyDescent="0.2">
      <c r="A37" t="s">
        <v>779</v>
      </c>
      <c r="B37" s="240">
        <v>65176.33</v>
      </c>
      <c r="C37" s="240">
        <v>9297.18</v>
      </c>
    </row>
    <row r="38" spans="1:3" x14ac:dyDescent="0.2">
      <c r="A38" t="s">
        <v>780</v>
      </c>
      <c r="B38" s="240">
        <v>1440</v>
      </c>
      <c r="C38" s="240">
        <v>205.41</v>
      </c>
    </row>
    <row r="39" spans="1:3" x14ac:dyDescent="0.2">
      <c r="A39" t="s">
        <v>781</v>
      </c>
      <c r="B39" s="240">
        <v>113587.64</v>
      </c>
      <c r="C39" s="240">
        <v>16202.88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180203.97</v>
      </c>
      <c r="C40" s="231">
        <f>SUM(C37:C39)</f>
        <v>25705.47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Souhegan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10687849.119999999</v>
      </c>
      <c r="D5" s="20">
        <f>SUM('DOE25'!L197:L200)+SUM('DOE25'!L215:L218)+SUM('DOE25'!L233:L236)-F5-G5</f>
        <v>10479929.279999999</v>
      </c>
      <c r="E5" s="243"/>
      <c r="F5" s="255">
        <f>SUM('DOE25'!J197:J200)+SUM('DOE25'!J215:J218)+SUM('DOE25'!J233:J236)</f>
        <v>191718.34</v>
      </c>
      <c r="G5" s="53">
        <f>SUM('DOE25'!K197:K200)+SUM('DOE25'!K215:K218)+SUM('DOE25'!K233:K236)</f>
        <v>16201.5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1619846.0200000003</v>
      </c>
      <c r="D6" s="20">
        <f>'DOE25'!L202+'DOE25'!L220+'DOE25'!L238-F6-G6</f>
        <v>1610918.2000000002</v>
      </c>
      <c r="E6" s="243"/>
      <c r="F6" s="255">
        <f>'DOE25'!J202+'DOE25'!J220+'DOE25'!J238</f>
        <v>7772.82</v>
      </c>
      <c r="G6" s="53">
        <f>'DOE25'!K202+'DOE25'!K220+'DOE25'!K238</f>
        <v>1155</v>
      </c>
      <c r="H6" s="259"/>
    </row>
    <row r="7" spans="1:9" x14ac:dyDescent="0.2">
      <c r="A7" s="32">
        <v>2200</v>
      </c>
      <c r="B7" t="s">
        <v>834</v>
      </c>
      <c r="C7" s="245">
        <f t="shared" si="0"/>
        <v>502059.41000000003</v>
      </c>
      <c r="D7" s="20">
        <f>'DOE25'!L203+'DOE25'!L221+'DOE25'!L239-F7-G7</f>
        <v>501739.41000000003</v>
      </c>
      <c r="E7" s="243"/>
      <c r="F7" s="255">
        <f>'DOE25'!J203+'DOE25'!J221+'DOE25'!J239</f>
        <v>0</v>
      </c>
      <c r="G7" s="53">
        <f>'DOE25'!K203+'DOE25'!K221+'DOE25'!K239</f>
        <v>320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801706.10000000009</v>
      </c>
      <c r="D8" s="243"/>
      <c r="E8" s="20">
        <f>'DOE25'!L204+'DOE25'!L222+'DOE25'!L240-F8-G8-D9-D11</f>
        <v>796590.22000000009</v>
      </c>
      <c r="F8" s="255">
        <f>'DOE25'!J204+'DOE25'!J222+'DOE25'!J240</f>
        <v>0</v>
      </c>
      <c r="G8" s="53">
        <f>'DOE25'!K204+'DOE25'!K222+'DOE25'!K240</f>
        <v>5115.88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747216.20999999985</v>
      </c>
      <c r="D12" s="20">
        <f>'DOE25'!L205+'DOE25'!L223+'DOE25'!L241-F12-G12</f>
        <v>719221.80999999994</v>
      </c>
      <c r="E12" s="243"/>
      <c r="F12" s="255">
        <f>'DOE25'!J205+'DOE25'!J223+'DOE25'!J241</f>
        <v>16880.189999999999</v>
      </c>
      <c r="G12" s="53">
        <f>'DOE25'!K205+'DOE25'!K223+'DOE25'!K241</f>
        <v>11114.21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3032.4</v>
      </c>
      <c r="D13" s="243"/>
      <c r="E13" s="20">
        <f>'DOE25'!L206+'DOE25'!L224+'DOE25'!L242-F13-G13</f>
        <v>3032.4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1206134.9699999997</v>
      </c>
      <c r="D14" s="20">
        <f>'DOE25'!L207+'DOE25'!L225+'DOE25'!L243-F14-G14</f>
        <v>1188123.3399999999</v>
      </c>
      <c r="E14" s="243"/>
      <c r="F14" s="255">
        <f>'DOE25'!J207+'DOE25'!J225+'DOE25'!J243</f>
        <v>17960.13</v>
      </c>
      <c r="G14" s="53">
        <f>'DOE25'!K207+'DOE25'!K225+'DOE25'!K243</f>
        <v>51.5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673414.06</v>
      </c>
      <c r="D15" s="20">
        <f>'DOE25'!L208+'DOE25'!L226+'DOE25'!L244-F15-G15</f>
        <v>673414.06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352477.92000000004</v>
      </c>
      <c r="D16" s="243"/>
      <c r="E16" s="20">
        <f>'DOE25'!L209+'DOE25'!L227+'DOE25'!L245-F16-G16</f>
        <v>290207.53000000003</v>
      </c>
      <c r="F16" s="255">
        <f>'DOE25'!J209+'DOE25'!J227+'DOE25'!J245</f>
        <v>62270.39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5092.4799999999996</v>
      </c>
      <c r="D17" s="20">
        <f>'DOE25'!L251-F17-G17</f>
        <v>5092.4799999999996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214222.5</v>
      </c>
      <c r="D25" s="243"/>
      <c r="E25" s="243"/>
      <c r="F25" s="258"/>
      <c r="G25" s="256"/>
      <c r="H25" s="257">
        <f>'DOE25'!L260+'DOE25'!L261+'DOE25'!L341+'DOE25'!L342</f>
        <v>214222.5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246217.74</v>
      </c>
      <c r="D29" s="20">
        <f>'DOE25'!L358+'DOE25'!L359+'DOE25'!L360-'DOE25'!I367-F29-G29</f>
        <v>240480.71</v>
      </c>
      <c r="E29" s="243"/>
      <c r="F29" s="255">
        <f>'DOE25'!J358+'DOE25'!J359+'DOE25'!J360</f>
        <v>4025</v>
      </c>
      <c r="G29" s="53">
        <f>'DOE25'!K358+'DOE25'!K359+'DOE25'!K360</f>
        <v>1712.03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244167.69</v>
      </c>
      <c r="D31" s="20">
        <f>'DOE25'!L290+'DOE25'!L309+'DOE25'!L328+'DOE25'!L333+'DOE25'!L334+'DOE25'!L335-F31-G31</f>
        <v>236752.89</v>
      </c>
      <c r="E31" s="243"/>
      <c r="F31" s="255">
        <f>'DOE25'!J290+'DOE25'!J309+'DOE25'!J328+'DOE25'!J333+'DOE25'!J334+'DOE25'!J335</f>
        <v>7414.8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15655672.180000003</v>
      </c>
      <c r="E33" s="246">
        <f>SUM(E5:E31)</f>
        <v>1089830.1500000001</v>
      </c>
      <c r="F33" s="246">
        <f>SUM(F5:F31)</f>
        <v>308041.67</v>
      </c>
      <c r="G33" s="246">
        <f>SUM(G5:G31)</f>
        <v>35670.119999999995</v>
      </c>
      <c r="H33" s="246">
        <f>SUM(H5:H31)</f>
        <v>214222.5</v>
      </c>
    </row>
    <row r="35" spans="2:8" ht="12" thickBot="1" x14ac:dyDescent="0.25">
      <c r="B35" s="253" t="s">
        <v>847</v>
      </c>
      <c r="D35" s="254">
        <f>E33</f>
        <v>1089830.1500000001</v>
      </c>
      <c r="E35" s="249"/>
    </row>
    <row r="36" spans="2:8" ht="12" thickTop="1" x14ac:dyDescent="0.2">
      <c r="B36" t="s">
        <v>815</v>
      </c>
      <c r="D36" s="20">
        <f>D33</f>
        <v>15655672.180000003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136897.82</v>
      </c>
      <c r="D8" s="95">
        <f>'DOE25'!G9</f>
        <v>0</v>
      </c>
      <c r="E8" s="95">
        <f>'DOE25'!H9</f>
        <v>0</v>
      </c>
      <c r="F8" s="95">
        <f>'DOE25'!I9</f>
        <v>7230.99</v>
      </c>
      <c r="G8" s="95">
        <f>'DOE25'!J9</f>
        <v>171272.49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692428.21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165787.26</v>
      </c>
      <c r="D11" s="95">
        <f>'DOE25'!G12</f>
        <v>8997.2900000000009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506.11</v>
      </c>
      <c r="D12" s="95">
        <f>'DOE25'!G13</f>
        <v>5197.42</v>
      </c>
      <c r="E12" s="95">
        <f>'DOE25'!H13</f>
        <v>42884.88</v>
      </c>
      <c r="F12" s="95">
        <f>'DOE25'!I13</f>
        <v>0</v>
      </c>
      <c r="G12" s="95">
        <f>'DOE25'!J13</f>
        <v>497810.95999999996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2529.5</v>
      </c>
      <c r="D13" s="95">
        <f>'DOE25'!G14</f>
        <v>66.989999999999995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8615.5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1006764.4</v>
      </c>
      <c r="D18" s="41">
        <f>SUM(D8:D17)</f>
        <v>14261.7</v>
      </c>
      <c r="E18" s="41">
        <f>SUM(E8:E17)</f>
        <v>42884.88</v>
      </c>
      <c r="F18" s="41">
        <f>SUM(F8:F17)</f>
        <v>7230.99</v>
      </c>
      <c r="G18" s="41">
        <f>SUM(G8:G17)</f>
        <v>669083.44999999995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142629.32999999999</v>
      </c>
      <c r="D21" s="95">
        <f>'DOE25'!G22</f>
        <v>0</v>
      </c>
      <c r="E21" s="95">
        <f>'DOE25'!H22</f>
        <v>31701.94</v>
      </c>
      <c r="F21" s="95">
        <f>'DOE25'!I22</f>
        <v>50</v>
      </c>
      <c r="G21" s="95">
        <f>'DOE25'!J22</f>
        <v>403.28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8154.97</v>
      </c>
      <c r="D22" s="95">
        <f>'DOE25'!G23</f>
        <v>14261.7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3040.1299999999997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4671.55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8498.27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5089.38</v>
      </c>
      <c r="D29" s="95">
        <f>'DOE25'!G30</f>
        <v>0</v>
      </c>
      <c r="E29" s="95">
        <f>'DOE25'!H30</f>
        <v>11182.94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111110.39999999999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171272.49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283194.02999999997</v>
      </c>
      <c r="D31" s="41">
        <f>SUM(D21:D30)</f>
        <v>14261.7</v>
      </c>
      <c r="E31" s="41">
        <f>SUM(E21:E30)</f>
        <v>42884.88</v>
      </c>
      <c r="F31" s="41">
        <f>SUM(F21:F30)</f>
        <v>50</v>
      </c>
      <c r="G31" s="41">
        <f>SUM(G21:G30)</f>
        <v>171675.77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7180.99</v>
      </c>
      <c r="G47" s="95">
        <f>'DOE25'!J48</f>
        <v>497407.68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723570.37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723570.37</v>
      </c>
      <c r="D50" s="41">
        <f>SUM(D34:D49)</f>
        <v>0</v>
      </c>
      <c r="E50" s="41">
        <f>SUM(E34:E49)</f>
        <v>0</v>
      </c>
      <c r="F50" s="41">
        <f>SUM(F34:F49)</f>
        <v>7180.99</v>
      </c>
      <c r="G50" s="41">
        <f>SUM(G34:G49)</f>
        <v>497407.68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1006764.3999999999</v>
      </c>
      <c r="D51" s="41">
        <f>D50+D31</f>
        <v>14261.7</v>
      </c>
      <c r="E51" s="41">
        <f>E50+E31</f>
        <v>42884.88</v>
      </c>
      <c r="F51" s="41">
        <f>F50+F31</f>
        <v>7230.99</v>
      </c>
      <c r="G51" s="41">
        <f>G50+G31</f>
        <v>669083.44999999995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13271452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87629.15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4139.1099999999997</v>
      </c>
      <c r="D59" s="95">
        <f>'DOE25'!G96</f>
        <v>0</v>
      </c>
      <c r="E59" s="95">
        <f>'DOE25'!H96</f>
        <v>0</v>
      </c>
      <c r="F59" s="95">
        <f>'DOE25'!I96</f>
        <v>3.62</v>
      </c>
      <c r="G59" s="95">
        <f>'DOE25'!J96</f>
        <v>-763.49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325370.78999999998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145600.63999999998</v>
      </c>
      <c r="D61" s="95">
        <f>SUM('DOE25'!G98:G110)</f>
        <v>2743.9300000000003</v>
      </c>
      <c r="E61" s="95">
        <f>SUM('DOE25'!H98:H110)</f>
        <v>20988.76</v>
      </c>
      <c r="F61" s="95">
        <f>SUM('DOE25'!I98:I110)</f>
        <v>0</v>
      </c>
      <c r="G61" s="95">
        <f>SUM('DOE25'!J98:J110)</f>
        <v>10154.17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237368.89999999997</v>
      </c>
      <c r="D62" s="130">
        <f>SUM(D57:D61)</f>
        <v>328114.71999999997</v>
      </c>
      <c r="E62" s="130">
        <f>SUM(E57:E61)</f>
        <v>20988.76</v>
      </c>
      <c r="F62" s="130">
        <f>SUM(F57:F61)</f>
        <v>3.62</v>
      </c>
      <c r="G62" s="130">
        <f>SUM(G57:G61)</f>
        <v>9390.68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13508820.9</v>
      </c>
      <c r="D63" s="22">
        <f>D56+D62</f>
        <v>328114.71999999997</v>
      </c>
      <c r="E63" s="22">
        <f>E56+E62</f>
        <v>20988.76</v>
      </c>
      <c r="F63" s="22">
        <f>F56+F62</f>
        <v>3.62</v>
      </c>
      <c r="G63" s="22">
        <f>G56+G62</f>
        <v>9390.68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1687708.17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1631631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3319339.17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241047.95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2332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810.22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243379.95</v>
      </c>
      <c r="D78" s="130">
        <f>SUM(D72:D77)</f>
        <v>810.22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3562719.12</v>
      </c>
      <c r="D81" s="130">
        <f>SUM(D79:D80)+D78+D70</f>
        <v>810.22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137032.07</v>
      </c>
      <c r="D88" s="95">
        <f>SUM('DOE25'!G153:G161)</f>
        <v>33660.03</v>
      </c>
      <c r="E88" s="95">
        <f>SUM('DOE25'!H153:H161)</f>
        <v>224678.93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137032.07</v>
      </c>
      <c r="D91" s="131">
        <f>SUM(D85:D90)</f>
        <v>33660.03</v>
      </c>
      <c r="E91" s="131">
        <f>SUM(E85:E90)</f>
        <v>224678.93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11529.45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11529.45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765</v>
      </c>
      <c r="C104" s="86">
        <f>C63+C81+C91+C103</f>
        <v>17208572.09</v>
      </c>
      <c r="D104" s="86">
        <f>D63+D81+D91+D103</f>
        <v>374114.42</v>
      </c>
      <c r="E104" s="86">
        <f>E63+E81+E91+E103</f>
        <v>245667.69</v>
      </c>
      <c r="F104" s="86">
        <f>F63+F81+F91+F103</f>
        <v>3.62</v>
      </c>
      <c r="G104" s="86">
        <f>G63+G81+G103</f>
        <v>74390.679999999993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7384690.7599999998</v>
      </c>
      <c r="D109" s="24" t="s">
        <v>289</v>
      </c>
      <c r="E109" s="95">
        <f>('DOE25'!L276)+('DOE25'!L295)+('DOE25'!L314)</f>
        <v>20491.560000000001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2851710.0800000005</v>
      </c>
      <c r="D110" s="24" t="s">
        <v>289</v>
      </c>
      <c r="E110" s="95">
        <f>('DOE25'!L277)+('DOE25'!L296)+('DOE25'!L315)</f>
        <v>180311.06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451448.28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5092.4799999999996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10692941.6</v>
      </c>
      <c r="D115" s="86">
        <f>SUM(D109:D114)</f>
        <v>0</v>
      </c>
      <c r="E115" s="86">
        <f>SUM(E109:E114)</f>
        <v>200802.62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1619846.0200000003</v>
      </c>
      <c r="D118" s="24" t="s">
        <v>289</v>
      </c>
      <c r="E118" s="95">
        <f>+('DOE25'!L281)+('DOE25'!L300)+('DOE25'!L319)</f>
        <v>10001.379999999999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502059.41000000003</v>
      </c>
      <c r="D119" s="24" t="s">
        <v>289</v>
      </c>
      <c r="E119" s="95">
        <f>+('DOE25'!L282)+('DOE25'!L301)+('DOE25'!L320)</f>
        <v>33363.689999999995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801706.10000000009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747216.20999999985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3032.4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1206134.9699999997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673414.06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352477.92000000004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374262.24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5905887.0899999999</v>
      </c>
      <c r="D128" s="86">
        <f>SUM(D118:D127)</f>
        <v>374262.24</v>
      </c>
      <c r="E128" s="86">
        <f>SUM(E118:E127)</f>
        <v>43365.069999999992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54222.5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10029.450000000001</v>
      </c>
      <c r="D135" s="24" t="s">
        <v>289</v>
      </c>
      <c r="E135" s="129">
        <f>'DOE25'!L345</f>
        <v>1500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64236.509999999995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10154.17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-9390.679999999993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289251.95</v>
      </c>
      <c r="D144" s="141">
        <f>SUM(D130:D143)</f>
        <v>0</v>
      </c>
      <c r="E144" s="141">
        <f>SUM(E130:E143)</f>
        <v>1500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16888080.640000001</v>
      </c>
      <c r="D145" s="86">
        <f>(D115+D128+D144)</f>
        <v>374262.24</v>
      </c>
      <c r="E145" s="86">
        <f>(E115+E128+E144)</f>
        <v>245667.69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1090000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2.14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160000</v>
      </c>
    </row>
    <row r="159" spans="1:9" x14ac:dyDescent="0.2">
      <c r="A159" s="22" t="s">
        <v>35</v>
      </c>
      <c r="B159" s="137">
        <f>'DOE25'!F498</f>
        <v>930000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930000</v>
      </c>
    </row>
    <row r="160" spans="1:9" x14ac:dyDescent="0.2">
      <c r="A160" s="22" t="s">
        <v>36</v>
      </c>
      <c r="B160" s="137">
        <f>'DOE25'!F499</f>
        <v>150233.75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150233.75</v>
      </c>
    </row>
    <row r="161" spans="1:7" x14ac:dyDescent="0.2">
      <c r="A161" s="22" t="s">
        <v>37</v>
      </c>
      <c r="B161" s="137">
        <f>'DOE25'!F500</f>
        <v>1080233.75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1080233.75</v>
      </c>
    </row>
    <row r="162" spans="1:7" x14ac:dyDescent="0.2">
      <c r="A162" s="22" t="s">
        <v>38</v>
      </c>
      <c r="B162" s="137">
        <f>'DOE25'!F501</f>
        <v>155000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155000</v>
      </c>
    </row>
    <row r="163" spans="1:7" x14ac:dyDescent="0.2">
      <c r="A163" s="22" t="s">
        <v>39</v>
      </c>
      <c r="B163" s="137">
        <f>'DOE25'!F502</f>
        <v>46190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46190</v>
      </c>
    </row>
    <row r="164" spans="1:7" x14ac:dyDescent="0.2">
      <c r="A164" s="22" t="s">
        <v>246</v>
      </c>
      <c r="B164" s="137">
        <f>'DOE25'!F503</f>
        <v>201190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201190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&amp;A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Souhegan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18086</v>
      </c>
    </row>
    <row r="7" spans="1:4" x14ac:dyDescent="0.2">
      <c r="B7" t="s">
        <v>705</v>
      </c>
      <c r="C7" s="179">
        <f>IF('DOE25'!I665+'DOE25'!I670=0,0,ROUND('DOE25'!I672,0))</f>
        <v>18086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7405182</v>
      </c>
      <c r="D10" s="182">
        <f>ROUND((C10/$C$28)*100,1)</f>
        <v>43.7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3032021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451448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1629847</v>
      </c>
      <c r="D15" s="182">
        <f t="shared" ref="D15:D27" si="0">ROUND((C15/$C$28)*100,1)</f>
        <v>9.6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535423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1154184</v>
      </c>
      <c r="D17" s="182">
        <f t="shared" si="0"/>
        <v>6.8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747216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3032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1206135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673414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5092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54223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46147.280000000028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16943364.280000001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16943364.280000001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13271452</v>
      </c>
      <c r="D35" s="182">
        <f t="shared" ref="D35:D40" si="1">ROUND((C35/$C$41)*100,1)</f>
        <v>75.8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267751.95999999903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3319339</v>
      </c>
      <c r="D37" s="182">
        <f t="shared" si="1"/>
        <v>19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244190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395371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17498103.960000001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&amp;A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Souhegan Cooperative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2015-08-19T20:37:23Z</cp:lastPrinted>
  <dcterms:created xsi:type="dcterms:W3CDTF">1997-12-04T19:04:30Z</dcterms:created>
  <dcterms:modified xsi:type="dcterms:W3CDTF">2015-11-30T14:13:49Z</dcterms:modified>
</cp:coreProperties>
</file>