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2331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268" i="1" l="1"/>
  <c r="H197" i="1"/>
  <c r="G611" i="1" l="1"/>
  <c r="H575" i="1"/>
  <c r="H531" i="1"/>
  <c r="H234" i="1"/>
  <c r="G521" i="1"/>
  <c r="F521" i="1"/>
  <c r="F465" i="1"/>
  <c r="H358" i="1"/>
  <c r="I276" i="1"/>
  <c r="G276" i="1"/>
  <c r="F276" i="1"/>
  <c r="J276" i="1"/>
  <c r="H277" i="1"/>
  <c r="H255" i="1"/>
  <c r="H244" i="1"/>
  <c r="H208" i="1"/>
  <c r="J207" i="1"/>
  <c r="I207" i="1"/>
  <c r="H207" i="1"/>
  <c r="G207" i="1"/>
  <c r="F207" i="1"/>
  <c r="G205" i="1"/>
  <c r="J205" i="1"/>
  <c r="K205" i="1"/>
  <c r="I205" i="1"/>
  <c r="H205" i="1"/>
  <c r="F205" i="1"/>
  <c r="K240" i="1"/>
  <c r="H240" i="1"/>
  <c r="G240" i="1"/>
  <c r="F240" i="1"/>
  <c r="H204" i="1"/>
  <c r="K204" i="1"/>
  <c r="G204" i="1"/>
  <c r="F204" i="1"/>
  <c r="H233" i="1" l="1"/>
  <c r="H203" i="1"/>
  <c r="I203" i="1"/>
  <c r="G203" i="1"/>
  <c r="F203" i="1"/>
  <c r="I202" i="1"/>
  <c r="H202" i="1"/>
  <c r="I200" i="1"/>
  <c r="G200" i="1"/>
  <c r="F200" i="1"/>
  <c r="G198" i="1"/>
  <c r="F198" i="1"/>
  <c r="J197" i="1"/>
  <c r="I197" i="1"/>
  <c r="G197" i="1"/>
  <c r="F197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D19" i="13" s="1"/>
  <c r="C19" i="13" s="1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E131" i="2" s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C58" i="2" s="1"/>
  <c r="F111" i="1"/>
  <c r="F112" i="1" s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F85" i="2" s="1"/>
  <c r="I162" i="1"/>
  <c r="C13" i="10"/>
  <c r="L250" i="1"/>
  <c r="C113" i="2" s="1"/>
  <c r="L332" i="1"/>
  <c r="E113" i="2" s="1"/>
  <c r="L254" i="1"/>
  <c r="L268" i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7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2" i="2"/>
  <c r="E112" i="2"/>
  <c r="D115" i="2"/>
  <c r="F115" i="2"/>
  <c r="G115" i="2"/>
  <c r="E118" i="2"/>
  <c r="E120" i="2"/>
  <c r="E121" i="2"/>
  <c r="E122" i="2"/>
  <c r="E123" i="2"/>
  <c r="E124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I461" i="1" s="1"/>
  <c r="H642" i="1" s="1"/>
  <c r="F460" i="1"/>
  <c r="G460" i="1"/>
  <c r="G461" i="1" s="1"/>
  <c r="H640" i="1" s="1"/>
  <c r="H460" i="1"/>
  <c r="I460" i="1"/>
  <c r="F461" i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F571" i="1" s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H639" i="1"/>
  <c r="G643" i="1"/>
  <c r="G644" i="1"/>
  <c r="G649" i="1"/>
  <c r="G652" i="1"/>
  <c r="H652" i="1"/>
  <c r="G653" i="1"/>
  <c r="H653" i="1"/>
  <c r="G654" i="1"/>
  <c r="H654" i="1"/>
  <c r="H655" i="1"/>
  <c r="D91" i="2"/>
  <c r="J571" i="1"/>
  <c r="K571" i="1"/>
  <c r="I476" i="1"/>
  <c r="H625" i="1" s="1"/>
  <c r="J140" i="1"/>
  <c r="J552" i="1"/>
  <c r="H338" i="1"/>
  <c r="H352" i="1" s="1"/>
  <c r="H192" i="1"/>
  <c r="L309" i="1"/>
  <c r="G36" i="2"/>
  <c r="L565" i="1"/>
  <c r="A40" i="12" l="1"/>
  <c r="J655" i="1"/>
  <c r="K545" i="1"/>
  <c r="F338" i="1"/>
  <c r="F352" i="1" s="1"/>
  <c r="I549" i="1"/>
  <c r="I552" i="1" s="1"/>
  <c r="L539" i="1"/>
  <c r="C12" i="10"/>
  <c r="E111" i="2"/>
  <c r="H662" i="1"/>
  <c r="G651" i="1"/>
  <c r="J651" i="1" s="1"/>
  <c r="L544" i="1"/>
  <c r="I408" i="1"/>
  <c r="H52" i="1"/>
  <c r="H619" i="1" s="1"/>
  <c r="G624" i="1"/>
  <c r="L270" i="1"/>
  <c r="H551" i="1"/>
  <c r="L534" i="1"/>
  <c r="C29" i="10"/>
  <c r="C26" i="10"/>
  <c r="J643" i="1"/>
  <c r="L614" i="1"/>
  <c r="K605" i="1"/>
  <c r="G648" i="1" s="1"/>
  <c r="K598" i="1"/>
  <c r="G647" i="1" s="1"/>
  <c r="I571" i="1"/>
  <c r="J622" i="1"/>
  <c r="H461" i="1"/>
  <c r="H641" i="1" s="1"/>
  <c r="J641" i="1" s="1"/>
  <c r="L427" i="1"/>
  <c r="L419" i="1"/>
  <c r="F130" i="2"/>
  <c r="F144" i="2" s="1"/>
  <c r="F145" i="2" s="1"/>
  <c r="H552" i="1"/>
  <c r="L328" i="1"/>
  <c r="D14" i="13"/>
  <c r="C14" i="13" s="1"/>
  <c r="C19" i="10"/>
  <c r="I169" i="1"/>
  <c r="H112" i="1"/>
  <c r="J649" i="1"/>
  <c r="H571" i="1"/>
  <c r="G545" i="1"/>
  <c r="K500" i="1"/>
  <c r="L433" i="1"/>
  <c r="I52" i="1"/>
  <c r="H620" i="1" s="1"/>
  <c r="J620" i="1" s="1"/>
  <c r="G625" i="1"/>
  <c r="J625" i="1" s="1"/>
  <c r="B164" i="2"/>
  <c r="K503" i="1"/>
  <c r="C25" i="10"/>
  <c r="E132" i="2"/>
  <c r="E13" i="13"/>
  <c r="C13" i="13" s="1"/>
  <c r="F192" i="1"/>
  <c r="C32" i="10"/>
  <c r="L351" i="1"/>
  <c r="H25" i="13"/>
  <c r="C25" i="13" s="1"/>
  <c r="E119" i="2"/>
  <c r="E128" i="2" s="1"/>
  <c r="C11" i="10"/>
  <c r="G662" i="1"/>
  <c r="G650" i="1"/>
  <c r="J650" i="1" s="1"/>
  <c r="C20" i="10"/>
  <c r="C125" i="2"/>
  <c r="C16" i="10"/>
  <c r="I545" i="1"/>
  <c r="J623" i="1"/>
  <c r="H476" i="1"/>
  <c r="H624" i="1" s="1"/>
  <c r="J624" i="1" s="1"/>
  <c r="H408" i="1"/>
  <c r="H644" i="1" s="1"/>
  <c r="G161" i="2"/>
  <c r="E78" i="2"/>
  <c r="E81" i="2" s="1"/>
  <c r="F18" i="2"/>
  <c r="C35" i="10"/>
  <c r="L290" i="1"/>
  <c r="D29" i="13"/>
  <c r="C29" i="13" s="1"/>
  <c r="D17" i="13"/>
  <c r="C17" i="13" s="1"/>
  <c r="C21" i="10"/>
  <c r="C118" i="2"/>
  <c r="E16" i="13"/>
  <c r="C16" i="13" s="1"/>
  <c r="H545" i="1"/>
  <c r="L382" i="1"/>
  <c r="G636" i="1" s="1"/>
  <c r="J636" i="1" s="1"/>
  <c r="K338" i="1"/>
  <c r="K352" i="1" s="1"/>
  <c r="G338" i="1"/>
  <c r="G352" i="1" s="1"/>
  <c r="C122" i="2"/>
  <c r="C119" i="2"/>
  <c r="C78" i="2"/>
  <c r="F552" i="1"/>
  <c r="G112" i="1"/>
  <c r="C36" i="10" s="1"/>
  <c r="C123" i="2"/>
  <c r="K551" i="1"/>
  <c r="F257" i="1"/>
  <c r="F271" i="1" s="1"/>
  <c r="G164" i="2"/>
  <c r="G156" i="2"/>
  <c r="D50" i="2"/>
  <c r="E115" i="2"/>
  <c r="L524" i="1"/>
  <c r="J640" i="1"/>
  <c r="I446" i="1"/>
  <c r="G642" i="1" s="1"/>
  <c r="J642" i="1" s="1"/>
  <c r="L401" i="1"/>
  <c r="C139" i="2" s="1"/>
  <c r="J644" i="1"/>
  <c r="D127" i="2"/>
  <c r="D128" i="2" s="1"/>
  <c r="G661" i="1"/>
  <c r="L362" i="1"/>
  <c r="G635" i="1" s="1"/>
  <c r="J635" i="1" s="1"/>
  <c r="F661" i="1"/>
  <c r="D145" i="2"/>
  <c r="D15" i="13"/>
  <c r="C15" i="13" s="1"/>
  <c r="H647" i="1"/>
  <c r="C124" i="2"/>
  <c r="F662" i="1"/>
  <c r="C121" i="2"/>
  <c r="D12" i="13"/>
  <c r="C12" i="13" s="1"/>
  <c r="L247" i="1"/>
  <c r="H660" i="1" s="1"/>
  <c r="H664" i="1" s="1"/>
  <c r="H672" i="1" s="1"/>
  <c r="C6" i="10" s="1"/>
  <c r="G257" i="1"/>
  <c r="G271" i="1" s="1"/>
  <c r="C120" i="2"/>
  <c r="E8" i="13"/>
  <c r="C8" i="13" s="1"/>
  <c r="J257" i="1"/>
  <c r="J271" i="1" s="1"/>
  <c r="E103" i="2"/>
  <c r="F78" i="2"/>
  <c r="F81" i="2" s="1"/>
  <c r="D81" i="2"/>
  <c r="D62" i="2"/>
  <c r="D63" i="2" s="1"/>
  <c r="H33" i="13"/>
  <c r="K257" i="1"/>
  <c r="K271" i="1" s="1"/>
  <c r="G157" i="2"/>
  <c r="C91" i="2"/>
  <c r="E62" i="2"/>
  <c r="E63" i="2" s="1"/>
  <c r="E31" i="2"/>
  <c r="D18" i="13"/>
  <c r="C18" i="13" s="1"/>
  <c r="C110" i="2"/>
  <c r="I257" i="1"/>
  <c r="I271" i="1" s="1"/>
  <c r="D18" i="2"/>
  <c r="C70" i="2"/>
  <c r="L229" i="1"/>
  <c r="G660" i="1" s="1"/>
  <c r="G664" i="1" s="1"/>
  <c r="G667" i="1" s="1"/>
  <c r="C18" i="2"/>
  <c r="H257" i="1"/>
  <c r="H271" i="1" s="1"/>
  <c r="G81" i="2"/>
  <c r="C62" i="2"/>
  <c r="D31" i="2"/>
  <c r="C109" i="2"/>
  <c r="D7" i="13"/>
  <c r="C7" i="13" s="1"/>
  <c r="C15" i="10"/>
  <c r="D6" i="13"/>
  <c r="C6" i="13" s="1"/>
  <c r="C115" i="2"/>
  <c r="D5" i="13"/>
  <c r="C5" i="13" s="1"/>
  <c r="L211" i="1"/>
  <c r="F660" i="1" s="1"/>
  <c r="C10" i="10"/>
  <c r="G645" i="1"/>
  <c r="J645" i="1" s="1"/>
  <c r="C81" i="2"/>
  <c r="C56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L407" i="1"/>
  <c r="C140" i="2" s="1"/>
  <c r="L571" i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D104" i="2" s="1"/>
  <c r="I140" i="1"/>
  <c r="A22" i="12"/>
  <c r="H648" i="1"/>
  <c r="J652" i="1"/>
  <c r="G571" i="1"/>
  <c r="I434" i="1"/>
  <c r="G434" i="1"/>
  <c r="I663" i="1"/>
  <c r="E33" i="13" l="1"/>
  <c r="D35" i="13" s="1"/>
  <c r="J648" i="1"/>
  <c r="J647" i="1"/>
  <c r="C27" i="10"/>
  <c r="C28" i="10" s="1"/>
  <c r="D19" i="10" s="1"/>
  <c r="E145" i="2"/>
  <c r="I193" i="1"/>
  <c r="G630" i="1" s="1"/>
  <c r="J630" i="1" s="1"/>
  <c r="E104" i="2"/>
  <c r="I662" i="1"/>
  <c r="F193" i="1"/>
  <c r="G627" i="1" s="1"/>
  <c r="J627" i="1" s="1"/>
  <c r="L545" i="1"/>
  <c r="K549" i="1"/>
  <c r="K552" i="1" s="1"/>
  <c r="D51" i="2"/>
  <c r="F104" i="2"/>
  <c r="L408" i="1"/>
  <c r="G637" i="1" s="1"/>
  <c r="J637" i="1" s="1"/>
  <c r="C141" i="2"/>
  <c r="C144" i="2" s="1"/>
  <c r="F664" i="1"/>
  <c r="F672" i="1" s="1"/>
  <c r="C4" i="10" s="1"/>
  <c r="I661" i="1"/>
  <c r="H667" i="1"/>
  <c r="C128" i="2"/>
  <c r="D31" i="13"/>
  <c r="C31" i="13" s="1"/>
  <c r="E51" i="2"/>
  <c r="G51" i="2"/>
  <c r="C63" i="2"/>
  <c r="G104" i="2"/>
  <c r="G672" i="1"/>
  <c r="C5" i="10" s="1"/>
  <c r="L257" i="1"/>
  <c r="L271" i="1" s="1"/>
  <c r="G632" i="1" s="1"/>
  <c r="J632" i="1" s="1"/>
  <c r="I660" i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7" i="1" l="1"/>
  <c r="I664" i="1"/>
  <c r="I672" i="1" s="1"/>
  <c r="C7" i="10" s="1"/>
  <c r="C145" i="2"/>
  <c r="H646" i="1"/>
  <c r="J646" i="1" s="1"/>
  <c r="D33" i="13"/>
  <c r="D36" i="13" s="1"/>
  <c r="D11" i="10"/>
  <c r="D12" i="10"/>
  <c r="D22" i="10"/>
  <c r="D18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<sst xmlns="http://schemas.openxmlformats.org/spreadsheetml/2006/main" count="3954" uniqueCount="912">
  <si>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</si>
  <si>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</si>
  <si>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</si>
  <si>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</si>
  <si>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</si>
  <si>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</si>
  <si>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</si>
  <si>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</si>
  <si>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</si>
  <si>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</si>
  <si>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</si>
  <si>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</si>
  <si>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</si>
  <si>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</si>
  <si>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</si>
  <si>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</si>
  <si>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</si>
  <si>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</si>
  <si>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</si>
  <si>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</si>
  <si>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</si>
  <si>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</si>
  <si>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</si>
  <si>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</si>
  <si>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</si>
  <si>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</si>
  <si>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</si>
  <si>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</si>
  <si>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</si>
  <si>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</si>
  <si>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</si>
  <si>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</si>
  <si>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</si>
  <si>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</si>
  <si>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</si>
  <si>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</si>
  <si>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</si>
  <si>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</si>
  <si>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</si>
  <si>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</si>
  <si>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</si>
  <si>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</si>
  <si>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</si>
  <si>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</si>
  <si>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</si>
  <si>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</si>
  <si>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</si>
  <si>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</si>
  <si>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</si>
  <si>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</si>
  <si>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</si>
  <si>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</si>
  <si>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</si>
  <si>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</si>
  <si>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</si>
  <si>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</si>
  <si>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</si>
  <si>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</si>
  <si>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</si>
  <si>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</si>
  <si>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</si>
  <si>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</si>
  <si>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</si>
  <si>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</si>
  <si>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</si>
  <si>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</si>
  <si>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</si>
  <si>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</si>
  <si>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</si>
  <si>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</si>
  <si>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</si>
  <si>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</si>
  <si>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</si>
  <si>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</si>
  <si>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</si>
  <si>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</si>
  <si>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</si>
  <si>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</si>
  <si>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</si>
  <si>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</si>
  <si>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</si>
  <si>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</si>
  <si>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</si>
  <si>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</si>
  <si>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</si>
  <si>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</si>
  <si>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</si>
  <si>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</si>
  <si>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</si>
  <si>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</si>
  <si>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</si>
  <si>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</si>
  <si>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</si>
  <si>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</si>
  <si>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</si>
  <si>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</si>
  <si>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</si>
  <si>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</si>
  <si>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</si>
  <si>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</si>
  <si>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</si>
  <si>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</si>
  <si>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</si>
  <si>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</si>
  <si>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</si>
  <si>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</si>
  <si>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</si>
  <si>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</si>
  <si>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</si>
  <si>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</si>
  <si>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</si>
  <si>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</si>
  <si>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</si>
  <si>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</si>
  <si>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</si>
  <si>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</si>
  <si>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</si>
  <si>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</si>
  <si>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</si>
  <si>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</si>
  <si>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</si>
  <si>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</si>
  <si>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</si>
  <si>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</si>
  <si>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</si>
  <si>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</si>
  <si>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</si>
  <si>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</si>
  <si>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</si>
  <si>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</si>
  <si>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</si>
  <si>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</si>
  <si>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</si>
  <si>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</si>
  <si>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</si>
  <si>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</si>
  <si>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</si>
  <si>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</si>
  <si>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</si>
  <si>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</si>
  <si>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</si>
  <si>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</si>
  <si>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</si>
  <si>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</si>
  <si>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</si>
  <si>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</si>
  <si>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</si>
  <si>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</si>
  <si>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</si>
  <si>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</si>
  <si>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</si>
  <si>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</si>
  <si>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</si>
  <si>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</si>
  <si>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</si>
  <si>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</si>
  <si>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</si>
  <si>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</si>
  <si>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</si>
  <si>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</si>
  <si>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</si>
  <si>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</si>
  <si>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</si>
  <si>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</si>
  <si>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</si>
  <si>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</si>
  <si>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</si>
  <si>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</si>
  <si>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</si>
  <si>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</si>
  <si>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</si>
  <si>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</si>
  <si>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</si>
  <si>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</si>
  <si>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</si>
  <si>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</si>
  <si>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</si>
  <si>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</si>
  <si>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</si>
  <si>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</si>
  <si>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</si>
  <si>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</si>
  <si>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</si>
  <si>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</si>
  <si>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</si>
  <si>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</si>
  <si>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</si>
  <si>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</si>
  <si>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</si>
  <si>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</si>
  <si>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</si>
  <si>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</si>
  <si>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</si>
  <si>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</si>
  <si>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</si>
  <si>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</si>
  <si>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</si>
  <si>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</si>
  <si>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</si>
  <si>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</si>
  <si>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</si>
  <si>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</si>
  <si>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</si>
  <si>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</si>
  <si>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</si>
  <si>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</si>
  <si>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</si>
  <si>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</si>
  <si>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</si>
  <si>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</si>
  <si>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</si>
  <si>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</si>
  <si>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</si>
  <si>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</si>
  <si>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</si>
  <si>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</si>
  <si>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</si>
  <si>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</si>
  <si>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</si>
  <si>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</si>
  <si>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</si>
  <si>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</si>
  <si>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</si>
  <si>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</si>
  <si>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</si>
  <si>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</si>
  <si>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</si>
  <si>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</si>
  <si>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</si>
  <si>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</si>
  <si>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</si>
  <si>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</si>
  <si>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</si>
  <si>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</si>
  <si>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</si>
  <si>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</si>
  <si>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</si>
  <si>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</si>
  <si>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</si>
  <si>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</si>
  <si>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</si>
  <si>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</si>
  <si>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</si>
  <si>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</si>
  <si>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</si>
  <si>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</si>
  <si>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</si>
  <si>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</si>
  <si>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</si>
  <si>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</si>
  <si>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</si>
  <si>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</si>
  <si>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</si>
  <si>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</si>
  <si>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</si>
  <si>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</si>
  <si>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</si>
  <si>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</si>
  <si>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</si>
  <si>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</si>
  <si>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</si>
  <si>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</si>
  <si>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</si>
  <si>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</si>
  <si>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</si>
  <si>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</si>
  <si>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</si>
  <si>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</si>
  <si>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</si>
  <si>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</si>
  <si>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</si>
  <si>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</si>
  <si>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</si>
  <si>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</si>
  <si>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</si>
  <si>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</si>
  <si>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</si>
  <si>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</si>
  <si>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</si>
  <si>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</si>
  <si>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</si>
  <si>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</si>
  <si>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</si>
  <si>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</si>
  <si>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</si>
  <si>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</si>
  <si>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</si>
  <si>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</si>
  <si>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</si>
  <si>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</si>
  <si>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</si>
  <si>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</si>
  <si>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</si>
  <si>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</si>
  <si>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</si>
  <si>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</si>
  <si>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</si>
  <si>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</si>
  <si>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</si>
  <si>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</si>
  <si>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</si>
  <si>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</si>
  <si>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</si>
  <si>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</si>
  <si>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</si>
  <si>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</si>
  <si>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</si>
  <si>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</si>
  <si>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</si>
  <si>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</si>
  <si>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</si>
  <si>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</si>
  <si>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</si>
  <si>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</si>
  <si>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</si>
  <si>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</si>
  <si>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</si>
  <si>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</si>
  <si>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</si>
  <si>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</si>
  <si>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</si>
  <si>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</si>
  <si>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</si>
  <si>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</si>
  <si>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</si>
  <si>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</si>
  <si>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</si>
  <si>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</si>
  <si>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</si>
  <si>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</si>
  <si>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</si>
  <si>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</si>
  <si>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</si>
  <si>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</si>
  <si>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</si>
  <si>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</si>
  <si>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</si>
  <si>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</si>
  <si>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</si>
  <si>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</si>
  <si>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</si>
  <si>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</si>
  <si>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</si>
  <si>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</si>
  <si>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</si>
  <si>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</si>
  <si>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</si>
  <si>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</si>
  <si>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</si>
  <si>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</si>
  <si>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</si>
  <si>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</si>
  <si>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</si>
  <si>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</si>
  <si>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</si>
  <si>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</si>
  <si>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</si>
  <si>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</si>
  <si>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</si>
  <si>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</si>
  <si>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</si>
  <si>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</si>
  <si>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</si>
  <si>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</si>
  <si>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</si>
  <si>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</si>
  <si>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</si>
  <si>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</si>
  <si>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</si>
  <si>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</si>
  <si>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</si>
  <si>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</si>
  <si>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</si>
  <si>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</si>
  <si>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</si>
  <si>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</si>
  <si>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</si>
  <si>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</si>
  <si>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</si>
  <si>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</si>
  <si>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</si>
  <si>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</si>
  <si>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</si>
  <si>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</si>
  <si>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</si>
  <si>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</si>
  <si>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</si>
  <si>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</si>
  <si>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</si>
  <si>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</si>
  <si>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</si>
  <si>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</si>
  <si>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</si>
  <si>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</si>
  <si>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</si>
  <si>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</si>
  <si>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</si>
  <si>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</si>
  <si>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</si>
  <si>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</si>
  <si>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</si>
  <si>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</si>
  <si>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</si>
  <si>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</si>
  <si>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</si>
  <si>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</si>
  <si>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</si>
  <si>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</si>
  <si>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</si>
  <si>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</si>
  <si>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</si>
  <si>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</si>
  <si>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</si>
  <si>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</si>
  <si>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</si>
  <si>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</si>
  <si>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</si>
  <si>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</si>
  <si>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</si>
  <si>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</si>
  <si>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</si>
  <si>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</si>
  <si>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</si>
  <si>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</si>
  <si>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</si>
  <si>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</si>
  <si>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</si>
  <si>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</si>
  <si>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</si>
  <si>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</si>
  <si>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</si>
  <si>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</si>
  <si>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</si>
  <si>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</si>
  <si>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</si>
  <si>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</si>
  <si>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</si>
  <si>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</si>
  <si>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</si>
  <si>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</si>
  <si>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</si>
  <si>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</si>
  <si>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</si>
  <si>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</si>
  <si>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</si>
  <si>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</si>
  <si>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</si>
  <si>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</si>
  <si>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</si>
  <si>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</si>
  <si>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</si>
  <si>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</si>
  <si>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</si>
  <si>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</si>
  <si>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</si>
  <si>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</si>
  <si>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</si>
  <si>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</si>
  <si>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</si>
  <si>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</si>
  <si>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</si>
  <si>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</si>
  <si>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</si>
  <si>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</si>
  <si>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</si>
  <si>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</si>
  <si>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</si>
  <si>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</si>
  <si>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</si>
  <si>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</si>
  <si>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</si>
  <si>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</si>
  <si>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</si>
  <si>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</si>
  <si>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</si>
  <si>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</si>
  <si>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</si>
  <si>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</si>
  <si>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</si>
  <si>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</si>
  <si>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</si>
  <si>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</si>
  <si>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</si>
  <si>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</si>
  <si>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</si>
  <si>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</si>
  <si>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</si>
  <si>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</si>
  <si>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</si>
  <si>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</si>
  <si>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</si>
  <si>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</si>
  <si>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</si>
  <si>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</si>
  <si>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</si>
  <si>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</si>
  <si>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</si>
  <si>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</si>
  <si>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</si>
  <si>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</si>
  <si>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</si>
  <si>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</si>
  <si>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</si>
  <si>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</si>
  <si>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</si>
  <si>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</si>
  <si>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</si>
  <si>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</si>
  <si>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</si>
  <si>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</si>
  <si>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</si>
  <si>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</si>
  <si>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</si>
  <si>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</si>
  <si>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</si>
  <si>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</si>
  <si>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</si>
  <si>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</si>
  <si>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</si>
  <si>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</si>
  <si>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</si>
  <si>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</si>
  <si>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</si>
  <si>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</si>
  <si>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</si>
  <si>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</si>
  <si>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</si>
  <si>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</si>
  <si>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</si>
  <si>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</si>
  <si>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</si>
  <si>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</si>
  <si>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</si>
  <si>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</si>
  <si>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</si>
  <si>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</si>
  <si>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</si>
  <si>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</si>
  <si>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</si>
  <si>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</si>
  <si>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</si>
  <si>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</si>
  <si>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</si>
  <si>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</si>
  <si>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</si>
  <si>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</si>
  <si>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</si>
  <si>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</si>
  <si>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</si>
  <si>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</si>
  <si>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</si>
  <si>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</si>
  <si>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</si>
  <si>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</si>
  <si>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</si>
  <si>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</si>
  <si>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</si>
  <si>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</si>
  <si>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</si>
  <si>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</si>
  <si>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</si>
  <si>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</si>
  <si>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</si>
  <si>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</si>
  <si>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</si>
  <si>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</si>
  <si>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</si>
  <si>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</si>
  <si>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</si>
  <si>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</si>
  <si>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</si>
  <si>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</si>
  <si>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</si>
  <si>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</si>
  <si>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</si>
  <si>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</si>
  <si>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</si>
  <si>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</si>
  <si>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</si>
  <si>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</si>
  <si>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</si>
  <si>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</si>
  <si>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</si>
  <si>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</si>
  <si>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</si>
  <si>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</si>
  <si>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</si>
  <si>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</si>
  <si>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</si>
  <si>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</si>
  <si>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</si>
  <si>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</si>
  <si>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</si>
  <si>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</si>
  <si>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</si>
  <si>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</si>
  <si>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</si>
  <si>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</si>
  <si>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</si>
  <si>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</si>
  <si>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</si>
  <si>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</si>
  <si>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</si>
  <si>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</si>
  <si>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</si>
  <si>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</si>
  <si>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</si>
  <si>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</si>
  <si>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</si>
  <si>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</si>
  <si>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</si>
  <si>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</si>
  <si>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</si>
  <si>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</si>
  <si>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</si>
  <si>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</si>
  <si>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</si>
  <si>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</si>
  <si>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</si>
  <si>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</si>
  <si>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</si>
  <si>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</si>
  <si>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</si>
  <si>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</si>
  <si>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</si>
  <si>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</si>
  <si>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</si>
  <si>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</si>
  <si>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</si>
  <si>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</si>
  <si>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</si>
  <si>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</si>
  <si>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</si>
  <si>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</si>
  <si>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</si>
  <si>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</si>
  <si>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</si>
  <si>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</si>
  <si>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</si>
  <si>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</si>
  <si>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</si>
  <si>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</si>
  <si>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</si>
  <si>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</si>
  <si>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</si>
  <si>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</si>
  <si>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</si>
  <si>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</si>
  <si>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</si>
  <si>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</si>
  <si>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</si>
  <si>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</si>
  <si>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</si>
  <si>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</si>
  <si>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</si>
  <si>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</si>
  <si>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</si>
  <si>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</si>
  <si>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</si>
  <si>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</si>
  <si>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</si>
  <si>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</si>
  <si>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</si>
  <si>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</si>
  <si>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</si>
  <si>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</si>
  <si>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</si>
  <si>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</si>
  <si>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</si>
  <si>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</si>
  <si>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</si>
  <si>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</si>
  <si>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</si>
  <si>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</si>
  <si>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</si>
  <si>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</si>
  <si>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</si>
  <si>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</si>
  <si>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</si>
  <si>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</si>
  <si>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</si>
  <si>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</si>
  <si>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</si>
  <si>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</si>
  <si>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</si>
  <si>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</si>
  <si>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</si>
  <si>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</si>
  <si>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</si>
  <si>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</si>
  <si>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</si>
  <si>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</si>
  <si>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</si>
  <si>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</si>
  <si>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</si>
  <si>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</si>
  <si>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</si>
  <si>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</si>
  <si>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</si>
  <si>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</si>
  <si>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</si>
  <si>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</si>
  <si>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</si>
  <si>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</si>
  <si>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</si>
  <si>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</si>
  <si>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</si>
  <si>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</si>
  <si>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</si>
  <si>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</si>
  <si>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</si>
  <si>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</si>
  <si>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</si>
  <si>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</si>
  <si>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</si>
  <si>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</si>
  <si>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</si>
  <si>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</si>
  <si>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</si>
  <si>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</si>
  <si>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</si>
  <si>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</si>
  <si>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</si>
  <si>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</si>
  <si>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</si>
  <si>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</si>
  <si>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</si>
  <si>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</si>
  <si>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</si>
  <si>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</si>
  <si>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</si>
  <si>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</si>
  <si>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</si>
  <si>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</si>
  <si>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</si>
  <si>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</si>
  <si>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</si>
  <si>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</si>
  <si>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</si>
  <si>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</si>
  <si>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</si>
  <si>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</si>
  <si>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</si>
  <si>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</si>
  <si>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</si>
  <si>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</si>
  <si>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</si>
  <si>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</si>
  <si>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</si>
  <si>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</si>
  <si>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</si>
  <si>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</si>
  <si>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</si>
  <si>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</si>
  <si>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</si>
  <si>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</si>
  <si>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</si>
  <si>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</si>
  <si>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</si>
  <si>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</si>
  <si>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</si>
  <si>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</si>
  <si>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</si>
  <si>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</si>
  <si>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</si>
  <si>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</si>
  <si>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</si>
  <si>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</si>
  <si>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</si>
  <si>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</si>
  <si>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</si>
  <si>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</si>
  <si>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</si>
  <si>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</si>
  <si>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</si>
  <si>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</si>
  <si>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</si>
  <si>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</si>
  <si>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</si>
  <si>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</si>
  <si>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</si>
  <si>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</si>
  <si>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</si>
  <si>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</si>
  <si>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</si>
  <si>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</si>
  <si>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</si>
  <si>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</si>
  <si>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</si>
  <si>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</si>
  <si>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</si>
  <si>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</si>
  <si>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</si>
  <si>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</si>
  <si>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</si>
  <si>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</si>
  <si>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</si>
  <si>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</si>
  <si>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</si>
  <si>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</si>
  <si>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</si>
  <si>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</si>
  <si>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</si>
  <si>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</si>
  <si>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</si>
  <si>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</si>
  <si>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</si>
  <si>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</si>
  <si>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</si>
  <si>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</si>
  <si>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</si>
  <si>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</si>
  <si>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</si>
  <si>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</si>
  <si>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</si>
  <si>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</si>
  <si>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</si>
  <si>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</si>
  <si>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</si>
  <si>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</si>
  <si>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</si>
  <si>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</si>
  <si>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</si>
  <si>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</si>
  <si>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</si>
  <si>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</si>
  <si>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</si>
  <si>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</si>
  <si>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</si>
  <si>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</si>
  <si>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</si>
  <si>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</si>
  <si>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</si>
  <si>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</si>
  <si>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</si>
  <si>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</si>
  <si>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</si>
  <si>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</si>
  <si>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</si>
  <si>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</si>
  <si>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</si>
  <si>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</si>
  <si>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</si>
  <si>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</si>
  <si>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</si>
  <si>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</si>
  <si>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</si>
  <si>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</si>
  <si>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</si>
  <si>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</si>
  <si>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</si>
  <si>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</si>
  <si>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</si>
  <si>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</si>
  <si>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</si>
  <si>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</si>
  <si>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</si>
  <si>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</si>
  <si>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</si>
  <si>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</si>
  <si>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</si>
  <si>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</si>
  <si>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</si>
  <si>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</si>
  <si>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</si>
  <si>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</si>
  <si>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</si>
  <si>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</si>
  <si>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</si>
  <si>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</si>
  <si>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</si>
  <si>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</si>
  <si>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</si>
  <si>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</si>
  <si>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</si>
  <si>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</si>
  <si>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</si>
  <si>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</si>
  <si>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</si>
  <si>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</si>
  <si>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</si>
  <si>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</si>
  <si>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</si>
  <si>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</si>
  <si>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</si>
  <si>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</si>
  <si>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</si>
  <si>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</si>
  <si>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</si>
  <si>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</si>
  <si>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</si>
  <si>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</si>
  <si>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</si>
  <si>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</si>
  <si>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</si>
  <si>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</si>
  <si>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</si>
  <si>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</si>
  <si>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</si>
  <si>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</si>
  <si>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</si>
  <si>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</si>
  <si>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</si>
  <si>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</si>
  <si>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</si>
  <si>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</si>
  <si>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</si>
  <si>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</si>
  <si>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</si>
  <si>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</si>
  <si>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</si>
  <si>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STARK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</si>
</sst>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8093.53+1000.7</f>
        <v>9094.23</v>
      </c>
      <c r="G9" s="18"/>
      <c r="H9" s="18"/>
      <c r="I9" s="18"/>
      <c r="J9" s="67">
        <f>SUM(I439)</f>
        <v>257352.75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571.43+6412.86</f>
        <v>6984.29</v>
      </c>
      <c r="G12" s="18">
        <v>0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571.42999999999995</v>
      </c>
      <c r="H14" s="18">
        <v>6412.86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16078.52</v>
      </c>
      <c r="G19" s="41">
        <f>SUM(G9:G18)</f>
        <v>571.42999999999995</v>
      </c>
      <c r="H19" s="41">
        <f>SUM(H9:H18)</f>
        <v>6412.86</v>
      </c>
      <c r="I19" s="41">
        <f>SUM(I9:I18)</f>
        <v>0</v>
      </c>
      <c r="J19" s="41">
        <f>SUM(J9:J18)</f>
        <v>257352.75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571.42999999999995</v>
      </c>
      <c r="H22" s="18">
        <v>6412.86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571.42999999999995</v>
      </c>
      <c r="H32" s="41">
        <f>SUM(H22:H31)</f>
        <v>6412.86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257352.75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16078.52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16078.52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257352.75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16078.52</v>
      </c>
      <c r="G52" s="41">
        <f>G51+G32</f>
        <v>571.42999999999995</v>
      </c>
      <c r="H52" s="41">
        <f>H51+H32</f>
        <v>6412.86</v>
      </c>
      <c r="I52" s="41">
        <f>I51+I32</f>
        <v>0</v>
      </c>
      <c r="J52" s="41">
        <f>J51+J32</f>
        <v>257352.75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448847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448847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113.75</v>
      </c>
      <c r="G96" s="18"/>
      <c r="H96" s="18"/>
      <c r="I96" s="18"/>
      <c r="J96" s="18">
        <v>4872.2700000000004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7464.85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724.62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838.37</v>
      </c>
      <c r="G111" s="41">
        <f>SUM(G96:G110)</f>
        <v>7464.85</v>
      </c>
      <c r="H111" s="41">
        <f>SUM(H96:H110)</f>
        <v>0</v>
      </c>
      <c r="I111" s="41">
        <f>SUM(I96:I110)</f>
        <v>0</v>
      </c>
      <c r="J111" s="41">
        <f>SUM(J96:J110)</f>
        <v>4872.2700000000004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449685.37</v>
      </c>
      <c r="G112" s="41">
        <f>G60+G111</f>
        <v>7464.85</v>
      </c>
      <c r="H112" s="41">
        <f>H60+H79+H94+H111</f>
        <v>0</v>
      </c>
      <c r="I112" s="41">
        <f>I60+I111</f>
        <v>0</v>
      </c>
      <c r="J112" s="41">
        <f>J60+J111</f>
        <v>4872.2700000000004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282086.90000000002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118187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400273.9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247.11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247.11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400273.9</v>
      </c>
      <c r="G140" s="41">
        <f>G121+SUM(G136:G137)</f>
        <v>247.11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21589.05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17225.32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8328.07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13124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161.87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161.87</v>
      </c>
      <c r="G162" s="41">
        <f>SUM(G150:G161)</f>
        <v>8328.07</v>
      </c>
      <c r="H162" s="41">
        <f>SUM(H150:H161)</f>
        <v>51938.369999999995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9578.85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9740.7200000000012</v>
      </c>
      <c r="G169" s="41">
        <f>G147+G162+SUM(G163:G168)</f>
        <v>8328.07</v>
      </c>
      <c r="H169" s="41">
        <f>H147+H162+SUM(H163:H168)</f>
        <v>51938.369999999995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9100.98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40000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40000</v>
      </c>
      <c r="G183" s="41">
        <f>SUM(G179:G182)</f>
        <v>9100.98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40000</v>
      </c>
      <c r="G192" s="41">
        <f>G183+SUM(G188:G191)</f>
        <v>9100.98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899699.99</v>
      </c>
      <c r="G193" s="47">
        <f>G112+G140+G169+G192</f>
        <v>25141.01</v>
      </c>
      <c r="H193" s="47">
        <f>H112+H140+H169+H192</f>
        <v>51938.369999999995</v>
      </c>
      <c r="I193" s="47">
        <f>I112+I140+I169+I192</f>
        <v>0</v>
      </c>
      <c r="J193" s="47">
        <f>J112+J140+J192</f>
        <v>44872.270000000004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122709.62+6431.65+2660</f>
        <v>131801.26999999999</v>
      </c>
      <c r="G197" s="18">
        <f>22005.66+598.98+10035.05+19.37+16209.83+1732.93</f>
        <v>50601.82</v>
      </c>
      <c r="H197" s="18">
        <f>4264.35+400+404.9+1111.6</f>
        <v>6180.85</v>
      </c>
      <c r="I197" s="18">
        <f>2679.32+683.83+374</f>
        <v>3737.15</v>
      </c>
      <c r="J197" s="18">
        <f>1610.97</f>
        <v>1610.97</v>
      </c>
      <c r="K197" s="18"/>
      <c r="L197" s="19">
        <f>SUM(F197:K197)</f>
        <v>193932.06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1781.02+94.4</f>
        <v>1875.42</v>
      </c>
      <c r="G198" s="18">
        <f>425.73+5.08+141.75+252.21+60.15</f>
        <v>884.92</v>
      </c>
      <c r="H198" s="4"/>
      <c r="I198" s="18"/>
      <c r="J198" s="18"/>
      <c r="K198" s="18"/>
      <c r="L198" s="19">
        <f>SUM(F198:K198)</f>
        <v>2760.34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2805+2295</f>
        <v>5100</v>
      </c>
      <c r="G200" s="18">
        <f>214.59+397.19+175.6+247.17</f>
        <v>1034.55</v>
      </c>
      <c r="H200" s="18"/>
      <c r="I200" s="18">
        <f>239.38</f>
        <v>239.38</v>
      </c>
      <c r="J200" s="18"/>
      <c r="K200" s="18"/>
      <c r="L200" s="19">
        <f>SUM(F200:K200)</f>
        <v>6373.93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7383.11+931.24+9008</f>
        <v>17322.349999999999</v>
      </c>
      <c r="I202" s="18">
        <f>40.84</f>
        <v>40.840000000000003</v>
      </c>
      <c r="J202" s="18"/>
      <c r="K202" s="18"/>
      <c r="L202" s="19">
        <f t="shared" ref="L202:L208" si="0">SUM(F202:K202)</f>
        <v>17363.189999999999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2366+1083.71</f>
        <v>3449.71</v>
      </c>
      <c r="G203" s="18">
        <f>181.05+30.08+64.57+30.08</f>
        <v>305.77999999999997</v>
      </c>
      <c r="H203" s="18">
        <f>2745.61+446.6+1175</f>
        <v>4367.21</v>
      </c>
      <c r="I203" s="18">
        <f>27.99+123.7+349.94</f>
        <v>501.63</v>
      </c>
      <c r="J203" s="18"/>
      <c r="K203" s="18"/>
      <c r="L203" s="19">
        <f t="shared" si="0"/>
        <v>8624.33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1777</f>
        <v>1777</v>
      </c>
      <c r="G204" s="18">
        <f>162</f>
        <v>162</v>
      </c>
      <c r="H204" s="18">
        <f>5282+49616</f>
        <v>54898</v>
      </c>
      <c r="I204" s="18"/>
      <c r="J204" s="18"/>
      <c r="K204" s="18">
        <f>1213</f>
        <v>1213</v>
      </c>
      <c r="L204" s="19">
        <f t="shared" si="0"/>
        <v>58050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32999.28+9154.71+1614.4</f>
        <v>43768.39</v>
      </c>
      <c r="G205" s="18">
        <f>7190.39+102+3318.5+904.86+4672.7+1350+968.43</f>
        <v>18506.88</v>
      </c>
      <c r="H205" s="18">
        <f>135.52+4116.03+172.94</f>
        <v>4424.49</v>
      </c>
      <c r="I205" s="18">
        <f>412.97+130.66+847.72+164.7</f>
        <v>1556.05</v>
      </c>
      <c r="J205" s="18">
        <f>1995</f>
        <v>1995</v>
      </c>
      <c r="K205" s="18">
        <f>761.95+155</f>
        <v>916.95</v>
      </c>
      <c r="L205" s="19">
        <f t="shared" si="0"/>
        <v>71167.760000000009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10562.5+3120</f>
        <v>13682.5</v>
      </c>
      <c r="G207" s="18">
        <f>1046.7+529.33</f>
        <v>1576.0300000000002</v>
      </c>
      <c r="H207" s="18">
        <f>1224+1490+4654.89+3210+1092.61</f>
        <v>11671.5</v>
      </c>
      <c r="I207" s="18">
        <f>1406.17+4634.95+535.4+8630.44</f>
        <v>15206.96</v>
      </c>
      <c r="J207" s="18">
        <f>900</f>
        <v>900</v>
      </c>
      <c r="K207" s="18"/>
      <c r="L207" s="19">
        <f t="shared" si="0"/>
        <v>43036.99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25941+866</f>
        <v>26807</v>
      </c>
      <c r="I208" s="18"/>
      <c r="J208" s="18"/>
      <c r="K208" s="18"/>
      <c r="L208" s="19">
        <f t="shared" si="0"/>
        <v>26807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201454.28999999998</v>
      </c>
      <c r="G211" s="41">
        <f t="shared" si="1"/>
        <v>73071.98</v>
      </c>
      <c r="H211" s="41">
        <f t="shared" si="1"/>
        <v>125671.40000000001</v>
      </c>
      <c r="I211" s="41">
        <f t="shared" si="1"/>
        <v>21282.01</v>
      </c>
      <c r="J211" s="41">
        <f t="shared" si="1"/>
        <v>4505.97</v>
      </c>
      <c r="K211" s="41">
        <f t="shared" si="1"/>
        <v>2129.9499999999998</v>
      </c>
      <c r="L211" s="41">
        <f t="shared" si="1"/>
        <v>428115.6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4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4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104820.64+184550.99</f>
        <v>289371.63</v>
      </c>
      <c r="I233" s="18"/>
      <c r="J233" s="18"/>
      <c r="K233" s="18"/>
      <c r="L233" s="19">
        <f>SUM(F233:K233)</f>
        <v>289371.63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28476.6</f>
        <v>28476.6</v>
      </c>
      <c r="I234" s="18"/>
      <c r="J234" s="18"/>
      <c r="K234" s="18"/>
      <c r="L234" s="19">
        <f>SUM(F234:K234)</f>
        <v>28476.6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1513</f>
        <v>1513</v>
      </c>
      <c r="G240" s="18">
        <f>138.12</f>
        <v>138.12</v>
      </c>
      <c r="H240" s="18">
        <f>4499.66+42265.72</f>
        <v>46765.380000000005</v>
      </c>
      <c r="I240" s="18"/>
      <c r="J240" s="18"/>
      <c r="K240" s="18">
        <f>1032.41</f>
        <v>1032.4100000000001</v>
      </c>
      <c r="L240" s="19">
        <f t="shared" si="4"/>
        <v>49448.910000000011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22097+5280</f>
        <v>27377</v>
      </c>
      <c r="I244" s="18"/>
      <c r="J244" s="18"/>
      <c r="K244" s="18"/>
      <c r="L244" s="19">
        <f t="shared" si="4"/>
        <v>27377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1513</v>
      </c>
      <c r="G247" s="41">
        <f t="shared" si="5"/>
        <v>138.12</v>
      </c>
      <c r="H247" s="41">
        <f>SUM(H233:H246)</f>
        <v>391990.61</v>
      </c>
      <c r="I247" s="41">
        <f t="shared" si="5"/>
        <v>0</v>
      </c>
      <c r="J247" s="41">
        <f t="shared" si="5"/>
        <v>0</v>
      </c>
      <c r="K247" s="41">
        <f t="shared" si="5"/>
        <v>1032.4100000000001</v>
      </c>
      <c r="L247" s="41">
        <f t="shared" si="5"/>
        <v>394674.14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21096</f>
        <v>21096</v>
      </c>
      <c r="I255" s="18"/>
      <c r="J255" s="18"/>
      <c r="K255" s="18"/>
      <c r="L255" s="19">
        <f t="shared" si="6"/>
        <v>21096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21096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21096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202967.28999999998</v>
      </c>
      <c r="G257" s="41">
        <f t="shared" si="8"/>
        <v>73210.099999999991</v>
      </c>
      <c r="H257" s="41">
        <f t="shared" si="8"/>
        <v>538758.01</v>
      </c>
      <c r="I257" s="41">
        <f t="shared" si="8"/>
        <v>21282.01</v>
      </c>
      <c r="J257" s="41">
        <f t="shared" si="8"/>
        <v>4505.97</v>
      </c>
      <c r="K257" s="41">
        <f t="shared" si="8"/>
        <v>3162.3599999999997</v>
      </c>
      <c r="L257" s="41">
        <f t="shared" si="8"/>
        <v>843885.74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9100.98</v>
      </c>
      <c r="L263" s="19">
        <f>SUM(F263:K263)</f>
        <v>9100.98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f>6718.83</f>
        <v>6718.83</v>
      </c>
      <c r="L268" s="19">
        <f t="shared" si="9"/>
        <v>6718.83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55819.81</v>
      </c>
      <c r="L270" s="41">
        <f t="shared" si="9"/>
        <v>55819.81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202967.28999999998</v>
      </c>
      <c r="G271" s="42">
        <f t="shared" si="11"/>
        <v>73210.099999999991</v>
      </c>
      <c r="H271" s="42">
        <f t="shared" si="11"/>
        <v>538758.01</v>
      </c>
      <c r="I271" s="42">
        <f t="shared" si="11"/>
        <v>21282.01</v>
      </c>
      <c r="J271" s="42">
        <f t="shared" si="11"/>
        <v>4505.97</v>
      </c>
      <c r="K271" s="42">
        <f t="shared" si="11"/>
        <v>58982.17</v>
      </c>
      <c r="L271" s="42">
        <f t="shared" si="11"/>
        <v>899705.55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11861.61+92.17+2250+480+2250</f>
        <v>16933.78</v>
      </c>
      <c r="G276" s="18">
        <f>1468.82+21.29+907.35+894.09+504.1+172.13+318.6+36.72+67.97+172.13</f>
        <v>4563.2000000000007</v>
      </c>
      <c r="H276" s="18"/>
      <c r="I276" s="18">
        <f>412.5+734.32+3060.2+317.94+859.53+381.92+955.81+983+632.46+300</f>
        <v>8637.68</v>
      </c>
      <c r="J276" s="18">
        <f>3120.65+448.95+4731.11+379</f>
        <v>8679.7099999999991</v>
      </c>
      <c r="K276" s="18"/>
      <c r="L276" s="19">
        <f>SUM(F276:K276)</f>
        <v>38814.369999999995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f>13124</f>
        <v>13124</v>
      </c>
      <c r="I277" s="18"/>
      <c r="J277" s="18"/>
      <c r="K277" s="18"/>
      <c r="L277" s="19">
        <f>SUM(F277:K277)</f>
        <v>13124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16933.78</v>
      </c>
      <c r="G290" s="42">
        <f t="shared" si="13"/>
        <v>4563.2000000000007</v>
      </c>
      <c r="H290" s="42">
        <f t="shared" si="13"/>
        <v>13124</v>
      </c>
      <c r="I290" s="42">
        <f t="shared" si="13"/>
        <v>8637.68</v>
      </c>
      <c r="J290" s="42">
        <f t="shared" si="13"/>
        <v>8679.7099999999991</v>
      </c>
      <c r="K290" s="42">
        <f t="shared" si="13"/>
        <v>0</v>
      </c>
      <c r="L290" s="41">
        <f t="shared" si="13"/>
        <v>51938.369999999995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16933.78</v>
      </c>
      <c r="G338" s="41">
        <f t="shared" si="20"/>
        <v>4563.2000000000007</v>
      </c>
      <c r="H338" s="41">
        <f t="shared" si="20"/>
        <v>13124</v>
      </c>
      <c r="I338" s="41">
        <f t="shared" si="20"/>
        <v>8637.68</v>
      </c>
      <c r="J338" s="41">
        <f t="shared" si="20"/>
        <v>8679.7099999999991</v>
      </c>
      <c r="K338" s="41">
        <f t="shared" si="20"/>
        <v>0</v>
      </c>
      <c r="L338" s="41">
        <f t="shared" si="20"/>
        <v>51938.369999999995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16933.78</v>
      </c>
      <c r="G352" s="41">
        <f>G338</f>
        <v>4563.2000000000007</v>
      </c>
      <c r="H352" s="41">
        <f>H338</f>
        <v>13124</v>
      </c>
      <c r="I352" s="41">
        <f>I338</f>
        <v>8637.68</v>
      </c>
      <c r="J352" s="41">
        <f>J338</f>
        <v>8679.7099999999991</v>
      </c>
      <c r="K352" s="47">
        <f>K338+K351</f>
        <v>0</v>
      </c>
      <c r="L352" s="41">
        <f>L338+L351</f>
        <v>51938.369999999995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24719.51+421.5</f>
        <v>25141.01</v>
      </c>
      <c r="I358" s="18"/>
      <c r="J358" s="18"/>
      <c r="K358" s="18"/>
      <c r="L358" s="13">
        <f>SUM(F358:K358)</f>
        <v>25141.01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25141.01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25141.01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1947.53</v>
      </c>
      <c r="I396" s="18"/>
      <c r="J396" s="24" t="s">
        <v>289</v>
      </c>
      <c r="K396" s="24" t="s">
        <v>289</v>
      </c>
      <c r="L396" s="56">
        <f t="shared" si="26"/>
        <v>26947.53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2051.4499999999998</v>
      </c>
      <c r="I397" s="18"/>
      <c r="J397" s="24" t="s">
        <v>289</v>
      </c>
      <c r="K397" s="24" t="s">
        <v>289</v>
      </c>
      <c r="L397" s="56">
        <f t="shared" si="26"/>
        <v>2051.4499999999998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15000</v>
      </c>
      <c r="H398" s="18">
        <v>873.29</v>
      </c>
      <c r="I398" s="18"/>
      <c r="J398" s="24" t="s">
        <v>289</v>
      </c>
      <c r="K398" s="24" t="s">
        <v>289</v>
      </c>
      <c r="L398" s="56">
        <f t="shared" si="26"/>
        <v>15873.29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4872.2699999999995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44872.270000000004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4872.2699999999995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44872.270000000004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257352.75</v>
      </c>
      <c r="H439" s="18"/>
      <c r="I439" s="56">
        <f t="shared" ref="I439:I445" si="33">SUM(F439:H439)</f>
        <v>257352.75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257352.75</v>
      </c>
      <c r="H446" s="13">
        <f>SUM(H439:H445)</f>
        <v>0</v>
      </c>
      <c r="I446" s="13">
        <f>SUM(I439:I445)</f>
        <v>257352.75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257352.75</v>
      </c>
      <c r="H456" s="18"/>
      <c r="I456" s="56">
        <f t="shared" si="34"/>
        <v>257352.75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257352.75</v>
      </c>
      <c r="H460" s="83">
        <f>SUM(H454:H459)</f>
        <v>0</v>
      </c>
      <c r="I460" s="83">
        <f>SUM(I454:I459)</f>
        <v>257352.75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257352.75</v>
      </c>
      <c r="H461" s="42">
        <f>H452+H460</f>
        <v>0</v>
      </c>
      <c r="I461" s="42">
        <f>I452+I460</f>
        <v>257352.75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56084.08-40000</f>
        <v>16084.080000000002</v>
      </c>
      <c r="G465" s="18"/>
      <c r="H465" s="18"/>
      <c r="I465" s="18"/>
      <c r="J465" s="18">
        <v>212480.48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899699.99</v>
      </c>
      <c r="G468" s="18">
        <v>25141.01</v>
      </c>
      <c r="H468" s="18">
        <v>51938.37</v>
      </c>
      <c r="I468" s="18"/>
      <c r="J468" s="18">
        <v>44872.27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899699.99</v>
      </c>
      <c r="G470" s="53">
        <f>SUM(G468:G469)</f>
        <v>25141.01</v>
      </c>
      <c r="H470" s="53">
        <f>SUM(H468:H469)</f>
        <v>51938.37</v>
      </c>
      <c r="I470" s="53">
        <f>SUM(I468:I469)</f>
        <v>0</v>
      </c>
      <c r="J470" s="53">
        <f>SUM(J468:J469)</f>
        <v>44872.27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899705.55</v>
      </c>
      <c r="G472" s="18">
        <v>25141.01</v>
      </c>
      <c r="H472" s="18">
        <v>51938.37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899705.55</v>
      </c>
      <c r="G474" s="53">
        <f>SUM(G472:G473)</f>
        <v>25141.01</v>
      </c>
      <c r="H474" s="53">
        <f>SUM(H472:H473)</f>
        <v>51938.37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16078.519999999902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257352.75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1781.02+94.4</f>
        <v>1875.42</v>
      </c>
      <c r="G521" s="18">
        <f>425.73+5.08+141.75+252.21+60.15</f>
        <v>884.92</v>
      </c>
      <c r="H521" s="4"/>
      <c r="I521" s="18"/>
      <c r="J521" s="18"/>
      <c r="K521" s="18"/>
      <c r="L521" s="88">
        <f>SUM(F521:K521)</f>
        <v>2760.34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 t="shared" ref="F524:K524" si="36">SUM(F521:F523)</f>
        <v>1875.42</v>
      </c>
      <c r="G524" s="108">
        <f t="shared" si="36"/>
        <v>884.92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ref="L524" si="37">SUM(L521:L523)</f>
        <v>2760.34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28476.6</v>
      </c>
      <c r="I528" s="18"/>
      <c r="J528" s="18"/>
      <c r="K528" s="18"/>
      <c r="L528" s="88">
        <f>SUM(F528:K528)</f>
        <v>28476.6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28476.6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28476.6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4116.03+172.94</f>
        <v>4288.9699999999993</v>
      </c>
      <c r="I531" s="18">
        <v>164.7</v>
      </c>
      <c r="J531" s="18"/>
      <c r="K531" s="18">
        <v>155</v>
      </c>
      <c r="L531" s="88">
        <f>SUM(F531:K531)</f>
        <v>4608.6699999999992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4288.9699999999993</v>
      </c>
      <c r="I534" s="89">
        <f t="shared" si="39"/>
        <v>164.7</v>
      </c>
      <c r="J534" s="89">
        <f t="shared" si="39"/>
        <v>0</v>
      </c>
      <c r="K534" s="89">
        <f t="shared" si="39"/>
        <v>155</v>
      </c>
      <c r="L534" s="89">
        <f t="shared" si="39"/>
        <v>4608.6699999999992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5280</v>
      </c>
      <c r="I543" s="18"/>
      <c r="J543" s="18"/>
      <c r="K543" s="18"/>
      <c r="L543" s="88">
        <f>SUM(F543:K543)</f>
        <v>5280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5280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5280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1875.42</v>
      </c>
      <c r="G545" s="89">
        <f t="shared" ref="G545:L545" si="42">G524+G529+G534+G539+G544</f>
        <v>884.92</v>
      </c>
      <c r="H545" s="89">
        <f t="shared" si="42"/>
        <v>38045.57</v>
      </c>
      <c r="I545" s="89">
        <f t="shared" si="42"/>
        <v>164.7</v>
      </c>
      <c r="J545" s="89">
        <f t="shared" si="42"/>
        <v>0</v>
      </c>
      <c r="K545" s="89">
        <f t="shared" si="42"/>
        <v>155</v>
      </c>
      <c r="L545" s="89">
        <f t="shared" si="42"/>
        <v>41125.61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2760.34</v>
      </c>
      <c r="G549" s="87">
        <f>L526</f>
        <v>0</v>
      </c>
      <c r="H549" s="87">
        <f>L531</f>
        <v>4608.6699999999992</v>
      </c>
      <c r="I549" s="87">
        <f>L536</f>
        <v>0</v>
      </c>
      <c r="J549" s="87">
        <f>L541</f>
        <v>0</v>
      </c>
      <c r="K549" s="87">
        <f>SUM(F549:J549)</f>
        <v>7369.0099999999993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28476.6</v>
      </c>
      <c r="H551" s="87">
        <f>L533</f>
        <v>0</v>
      </c>
      <c r="I551" s="87">
        <f>L538</f>
        <v>0</v>
      </c>
      <c r="J551" s="87">
        <f>L543</f>
        <v>5280</v>
      </c>
      <c r="K551" s="87">
        <f>SUM(F551:J551)</f>
        <v>33756.6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2760.34</v>
      </c>
      <c r="G552" s="89">
        <f t="shared" si="43"/>
        <v>28476.6</v>
      </c>
      <c r="H552" s="89">
        <f t="shared" si="43"/>
        <v>4608.6699999999992</v>
      </c>
      <c r="I552" s="89">
        <f t="shared" si="43"/>
        <v>0</v>
      </c>
      <c r="J552" s="89">
        <f t="shared" si="43"/>
        <v>5280</v>
      </c>
      <c r="K552" s="89">
        <f t="shared" si="43"/>
        <v>41125.61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104820.64+184550.99</f>
        <v>289371.63</v>
      </c>
      <c r="I575" s="87">
        <f>SUM(F575:H575)</f>
        <v>289371.63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6718.83</v>
      </c>
      <c r="I577" s="87">
        <f t="shared" si="48"/>
        <v>6718.83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28476.6</v>
      </c>
      <c r="I582" s="87">
        <f t="shared" si="48"/>
        <v>28476.6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25941</v>
      </c>
      <c r="I591" s="18"/>
      <c r="J591" s="18">
        <v>22097</v>
      </c>
      <c r="K591" s="104">
        <f t="shared" ref="K591:K597" si="49">SUM(H591:J591)</f>
        <v>48038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5280</v>
      </c>
      <c r="K592" s="104">
        <f t="shared" si="49"/>
        <v>5280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866</v>
      </c>
      <c r="I595" s="18"/>
      <c r="J595" s="18"/>
      <c r="K595" s="104">
        <f t="shared" si="49"/>
        <v>866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26807</v>
      </c>
      <c r="I598" s="108">
        <f>SUM(I591:I597)</f>
        <v>0</v>
      </c>
      <c r="J598" s="108">
        <f>SUM(J591:J597)</f>
        <v>27377</v>
      </c>
      <c r="K598" s="108">
        <f>SUM(K591:K597)</f>
        <v>54184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13185.68</v>
      </c>
      <c r="I604" s="18"/>
      <c r="J604" s="18"/>
      <c r="K604" s="104">
        <f>SUM(H604:J604)</f>
        <v>13185.68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13185.68</v>
      </c>
      <c r="I605" s="108">
        <f>SUM(I602:I604)</f>
        <v>0</v>
      </c>
      <c r="J605" s="108">
        <f>SUM(J602:J604)</f>
        <v>0</v>
      </c>
      <c r="K605" s="108">
        <f>SUM(K602:K604)</f>
        <v>13185.68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2805</v>
      </c>
      <c r="G611" s="18">
        <f>214.59+397.19</f>
        <v>611.78</v>
      </c>
      <c r="H611" s="18"/>
      <c r="I611" s="18"/>
      <c r="J611" s="18"/>
      <c r="K611" s="18"/>
      <c r="L611" s="88">
        <f>SUM(F611:K611)</f>
        <v>3416.7799999999997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2805</v>
      </c>
      <c r="G614" s="108">
        <f t="shared" si="50"/>
        <v>611.78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3416.7799999999997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16078.52</v>
      </c>
      <c r="H617" s="109">
        <f>SUM(F52)</f>
        <v>16078.52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571.42999999999995</v>
      </c>
      <c r="H618" s="109">
        <f>SUM(G52)</f>
        <v>571.42999999999995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6412.86</v>
      </c>
      <c r="H619" s="109">
        <f>SUM(H52)</f>
        <v>6412.86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257352.75</v>
      </c>
      <c r="H621" s="109">
        <f>SUM(J52)</f>
        <v>257352.75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16078.52</v>
      </c>
      <c r="H622" s="109">
        <f>F476</f>
        <v>16078.519999999902</v>
      </c>
      <c r="I622" s="121" t="s">
        <v>101</v>
      </c>
      <c r="J622" s="109">
        <f t="shared" ref="J622:J655" si="51">G622-H622</f>
        <v>9.822542779147625E-11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257352.75</v>
      </c>
      <c r="H626" s="109">
        <f>J476</f>
        <v>257352.75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899699.99</v>
      </c>
      <c r="H627" s="104">
        <f>SUM(F468)</f>
        <v>899699.99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25141.01</v>
      </c>
      <c r="H628" s="104">
        <f>SUM(G468)</f>
        <v>25141.01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51938.369999999995</v>
      </c>
      <c r="H629" s="104">
        <f>SUM(H468)</f>
        <v>51938.37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44872.270000000004</v>
      </c>
      <c r="H631" s="104">
        <f>SUM(J468)</f>
        <v>44872.27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899705.55</v>
      </c>
      <c r="H632" s="104">
        <f>SUM(F472)</f>
        <v>899705.55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51938.369999999995</v>
      </c>
      <c r="H633" s="104">
        <f>SUM(H472)</f>
        <v>51938.37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25141.01</v>
      </c>
      <c r="H635" s="104">
        <f>SUM(G472)</f>
        <v>25141.01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44872.270000000004</v>
      </c>
      <c r="H637" s="164">
        <f>SUM(J468)</f>
        <v>44872.27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257352.75</v>
      </c>
      <c r="H640" s="104">
        <f>SUM(G461)</f>
        <v>257352.75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257352.75</v>
      </c>
      <c r="H642" s="104">
        <f>SUM(I461)</f>
        <v>257352.75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4872.2700000000004</v>
      </c>
      <c r="H644" s="104">
        <f>H408</f>
        <v>4872.2699999999995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44872.270000000004</v>
      </c>
      <c r="H646" s="104">
        <f>L408</f>
        <v>44872.270000000004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54184</v>
      </c>
      <c r="H647" s="104">
        <f>L208+L226+L244</f>
        <v>54184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13185.68</v>
      </c>
      <c r="H648" s="104">
        <f>(J257+J338)-(J255+J336)</f>
        <v>13185.68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26807</v>
      </c>
      <c r="H649" s="104">
        <f>H598</f>
        <v>26807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27377</v>
      </c>
      <c r="H651" s="104">
        <f>J598</f>
        <v>27377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9100.98</v>
      </c>
      <c r="H652" s="104">
        <f>K263+K345</f>
        <v>9100.98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505194.98</v>
      </c>
      <c r="G660" s="19">
        <f>(L229+L309+L359)</f>
        <v>0</v>
      </c>
      <c r="H660" s="19">
        <f>(L247+L328+L360)</f>
        <v>394674.14</v>
      </c>
      <c r="I660" s="19">
        <f>SUM(F660:H660)</f>
        <v>899869.12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7464.85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7464.85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26807</v>
      </c>
      <c r="G662" s="19">
        <f>(L226+L306)-(J226+J306)</f>
        <v>0</v>
      </c>
      <c r="H662" s="19">
        <f>(L244+L325)-(J244+J325)</f>
        <v>27377</v>
      </c>
      <c r="I662" s="19">
        <f>SUM(F662:H662)</f>
        <v>54184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16602.46</v>
      </c>
      <c r="G663" s="199">
        <f>SUM(G575:G587)+SUM(I602:I604)+L612</f>
        <v>0</v>
      </c>
      <c r="H663" s="199">
        <f>SUM(H575:H587)+SUM(J602:J604)+L613</f>
        <v>324567.06</v>
      </c>
      <c r="I663" s="19">
        <f>SUM(F663:H663)</f>
        <v>341169.52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454320.67</v>
      </c>
      <c r="G664" s="19">
        <f>G660-SUM(G661:G663)</f>
        <v>0</v>
      </c>
      <c r="H664" s="19">
        <f>H660-SUM(H661:H663)</f>
        <v>42730.080000000016</v>
      </c>
      <c r="I664" s="19">
        <f>I660-SUM(I661:I663)</f>
        <v>497050.75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26.28</v>
      </c>
      <c r="G665" s="248"/>
      <c r="H665" s="248"/>
      <c r="I665" s="19">
        <f>SUM(F665:H665)</f>
        <v>26.28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17287.7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18913.650000000001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-42730.080000000002</v>
      </c>
      <c r="I669" s="19">
        <f>SUM(F669:H669)</f>
        <v>-42730.080000000002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17287.7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17287.7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STARK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148735.04999999999</v>
      </c>
      <c r="C9" s="229">
        <f>'DOE25'!G197+'DOE25'!G215+'DOE25'!G233+'DOE25'!G276+'DOE25'!G295+'DOE25'!G314</f>
        <v>55165.020000000004</v>
      </c>
    </row>
    <row r="10" spans="1:3" x14ac:dyDescent="0.2">
      <c r="A10" t="s">
        <v>779</v>
      </c>
      <c r="B10" s="240">
        <v>148735.04999999999</v>
      </c>
      <c r="C10" s="240">
        <v>55165.02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148735.04999999999</v>
      </c>
      <c r="C13" s="231">
        <f>SUM(C10:C12)</f>
        <v>55165.02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1875.42</v>
      </c>
      <c r="C18" s="229">
        <f>'DOE25'!G198+'DOE25'!G216+'DOE25'!G234+'DOE25'!G277+'DOE25'!G296+'DOE25'!G315</f>
        <v>884.92</v>
      </c>
    </row>
    <row r="19" spans="1:3" x14ac:dyDescent="0.2">
      <c r="A19" t="s">
        <v>779</v>
      </c>
      <c r="B19" s="240">
        <v>1875.42</v>
      </c>
      <c r="C19" s="240">
        <v>884.92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1875.42</v>
      </c>
      <c r="C22" s="231">
        <f>SUM(C19:C21)</f>
        <v>884.92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5100</v>
      </c>
      <c r="C36" s="235">
        <f>'DOE25'!G200+'DOE25'!G218+'DOE25'!G236+'DOE25'!G279+'DOE25'!G298+'DOE25'!G317</f>
        <v>1034.55</v>
      </c>
    </row>
    <row r="37" spans="1:3" x14ac:dyDescent="0.2">
      <c r="A37" t="s">
        <v>779</v>
      </c>
      <c r="B37" s="240">
        <v>5100</v>
      </c>
      <c r="C37" s="240">
        <v>1035.55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5100</v>
      </c>
      <c r="C40" s="231">
        <f>SUM(C37:C39)</f>
        <v>1035.55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21" sqref="C2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STARK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520914.55999999994</v>
      </c>
      <c r="D5" s="20">
        <f>SUM('DOE25'!L197:L200)+SUM('DOE25'!L215:L218)+SUM('DOE25'!L233:L236)-F5-G5</f>
        <v>519303.58999999997</v>
      </c>
      <c r="E5" s="243"/>
      <c r="F5" s="255">
        <f>SUM('DOE25'!J197:J200)+SUM('DOE25'!J215:J218)+SUM('DOE25'!J233:J236)</f>
        <v>1610.97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17363.189999999999</v>
      </c>
      <c r="D6" s="20">
        <f>'DOE25'!L202+'DOE25'!L220+'DOE25'!L238-F6-G6</f>
        <v>17363.189999999999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8624.33</v>
      </c>
      <c r="D7" s="20">
        <f>'DOE25'!L203+'DOE25'!L221+'DOE25'!L239-F7-G7</f>
        <v>8624.33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45071.69</v>
      </c>
      <c r="D8" s="243"/>
      <c r="E8" s="20">
        <f>'DOE25'!L204+'DOE25'!L222+'DOE25'!L240-F8-G8-D9-D11</f>
        <v>42826.28</v>
      </c>
      <c r="F8" s="255">
        <f>'DOE25'!J204+'DOE25'!J222+'DOE25'!J240</f>
        <v>0</v>
      </c>
      <c r="G8" s="53">
        <f>'DOE25'!K204+'DOE25'!K222+'DOE25'!K240</f>
        <v>2245.41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15617.19</v>
      </c>
      <c r="D9" s="244">
        <v>15617.19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46810.03</v>
      </c>
      <c r="D11" s="244">
        <v>46810.03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71167.760000000009</v>
      </c>
      <c r="D12" s="20">
        <f>'DOE25'!L205+'DOE25'!L223+'DOE25'!L241-F12-G12</f>
        <v>68255.810000000012</v>
      </c>
      <c r="E12" s="243"/>
      <c r="F12" s="255">
        <f>'DOE25'!J205+'DOE25'!J223+'DOE25'!J241</f>
        <v>1995</v>
      </c>
      <c r="G12" s="53">
        <f>'DOE25'!K205+'DOE25'!K223+'DOE25'!K241</f>
        <v>916.95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43036.99</v>
      </c>
      <c r="D14" s="20">
        <f>'DOE25'!L207+'DOE25'!L225+'DOE25'!L243-F14-G14</f>
        <v>42136.99</v>
      </c>
      <c r="E14" s="243"/>
      <c r="F14" s="255">
        <f>'DOE25'!J207+'DOE25'!J225+'DOE25'!J243</f>
        <v>900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54184</v>
      </c>
      <c r="D15" s="20">
        <f>'DOE25'!L208+'DOE25'!L226+'DOE25'!L244-F15-G15</f>
        <v>54184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21096</v>
      </c>
      <c r="D22" s="243"/>
      <c r="E22" s="243"/>
      <c r="F22" s="255">
        <f>'DOE25'!L255+'DOE25'!L336</f>
        <v>21096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25141.01</v>
      </c>
      <c r="D29" s="20">
        <f>'DOE25'!L358+'DOE25'!L359+'DOE25'!L360-'DOE25'!I367-F29-G29</f>
        <v>25141.01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51938.369999999995</v>
      </c>
      <c r="D31" s="20">
        <f>'DOE25'!L290+'DOE25'!L309+'DOE25'!L328+'DOE25'!L333+'DOE25'!L334+'DOE25'!L335-F31-G31</f>
        <v>43258.659999999996</v>
      </c>
      <c r="E31" s="243"/>
      <c r="F31" s="255">
        <f>'DOE25'!J290+'DOE25'!J309+'DOE25'!J328+'DOE25'!J333+'DOE25'!J334+'DOE25'!J335</f>
        <v>8679.7099999999991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840694.79999999993</v>
      </c>
      <c r="E33" s="246">
        <f>SUM(E5:E31)</f>
        <v>50576.28</v>
      </c>
      <c r="F33" s="246">
        <f>SUM(F5:F31)</f>
        <v>34281.68</v>
      </c>
      <c r="G33" s="246">
        <f>SUM(G5:G31)</f>
        <v>3162.3599999999997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50576.28</v>
      </c>
      <c r="E35" s="249"/>
    </row>
    <row r="36" spans="2:8" ht="12" thickTop="1" x14ac:dyDescent="0.2">
      <c r="B36" t="s">
        <v>815</v>
      </c>
      <c r="D36" s="20">
        <f>D33</f>
        <v>840694.79999999993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9094.23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257352.75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6984.29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571.42999999999995</v>
      </c>
      <c r="E13" s="95">
        <f>'DOE25'!H14</f>
        <v>6412.86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16078.52</v>
      </c>
      <c r="D18" s="41">
        <f>SUM(D8:D17)</f>
        <v>571.42999999999995</v>
      </c>
      <c r="E18" s="41">
        <f>SUM(E8:E17)</f>
        <v>6412.86</v>
      </c>
      <c r="F18" s="41">
        <f>SUM(F8:F17)</f>
        <v>0</v>
      </c>
      <c r="G18" s="41">
        <f>SUM(G8:G17)</f>
        <v>257352.75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571.42999999999995</v>
      </c>
      <c r="E21" s="95">
        <f>'DOE25'!H22</f>
        <v>6412.86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571.42999999999995</v>
      </c>
      <c r="E31" s="41">
        <f>SUM(E21:E30)</f>
        <v>6412.86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257352.75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16078.52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16078.52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257352.75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16078.52</v>
      </c>
      <c r="D51" s="41">
        <f>D50+D31</f>
        <v>571.42999999999995</v>
      </c>
      <c r="E51" s="41">
        <f>E50+E31</f>
        <v>6412.86</v>
      </c>
      <c r="F51" s="41">
        <f>F50+F31</f>
        <v>0</v>
      </c>
      <c r="G51" s="41">
        <f>G50+G31</f>
        <v>257352.75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448847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113.75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4872.2700000000004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7464.85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724.62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838.37</v>
      </c>
      <c r="D62" s="130">
        <f>SUM(D57:D61)</f>
        <v>7464.85</v>
      </c>
      <c r="E62" s="130">
        <f>SUM(E57:E61)</f>
        <v>0</v>
      </c>
      <c r="F62" s="130">
        <f>SUM(F57:F61)</f>
        <v>0</v>
      </c>
      <c r="G62" s="130">
        <f>SUM(G57:G61)</f>
        <v>4872.2700000000004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449685.37</v>
      </c>
      <c r="D63" s="22">
        <f>D56+D62</f>
        <v>7464.85</v>
      </c>
      <c r="E63" s="22">
        <f>E56+E62</f>
        <v>0</v>
      </c>
      <c r="F63" s="22">
        <f>F56+F62</f>
        <v>0</v>
      </c>
      <c r="G63" s="22">
        <f>G56+G62</f>
        <v>4872.2700000000004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282086.90000000002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118187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400273.9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247.11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247.11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400273.9</v>
      </c>
      <c r="D81" s="130">
        <f>SUM(D79:D80)+D78+D70</f>
        <v>247.11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161.87</v>
      </c>
      <c r="D88" s="95">
        <f>SUM('DOE25'!G153:G161)</f>
        <v>8328.07</v>
      </c>
      <c r="E88" s="95">
        <f>SUM('DOE25'!H153:H161)</f>
        <v>51938.369999999995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9578.85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9740.7200000000012</v>
      </c>
      <c r="D91" s="131">
        <f>SUM(D85:D90)</f>
        <v>8328.07</v>
      </c>
      <c r="E91" s="131">
        <f>SUM(E85:E90)</f>
        <v>51938.369999999995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9100.98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40000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40000</v>
      </c>
      <c r="D103" s="86">
        <f>SUM(D93:D102)</f>
        <v>9100.98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899699.99</v>
      </c>
      <c r="D104" s="86">
        <f>D63+D81+D91+D103</f>
        <v>25141.01</v>
      </c>
      <c r="E104" s="86">
        <f>E63+E81+E91+E103</f>
        <v>51938.369999999995</v>
      </c>
      <c r="F104" s="86">
        <f>F63+F81+F91+F103</f>
        <v>0</v>
      </c>
      <c r="G104" s="86">
        <f>G63+G81+G103</f>
        <v>44872.270000000004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483303.69</v>
      </c>
      <c r="D109" s="24" t="s">
        <v>289</v>
      </c>
      <c r="E109" s="95">
        <f>('DOE25'!L276)+('DOE25'!L295)+('DOE25'!L314)</f>
        <v>38814.369999999995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31236.94</v>
      </c>
      <c r="D110" s="24" t="s">
        <v>289</v>
      </c>
      <c r="E110" s="95">
        <f>('DOE25'!L277)+('DOE25'!L296)+('DOE25'!L315)</f>
        <v>13124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6373.93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520914.56</v>
      </c>
      <c r="D115" s="86">
        <f>SUM(D109:D114)</f>
        <v>0</v>
      </c>
      <c r="E115" s="86">
        <f>SUM(E109:E114)</f>
        <v>51938.369999999995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17363.189999999999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8624.33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107498.91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71167.760000000009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43036.99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54184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25141.01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301875.18</v>
      </c>
      <c r="D128" s="86">
        <f>SUM(D118:D127)</f>
        <v>25141.01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21096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9100.98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44872.270000000004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-4872.2700000000041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6718.83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76915.81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899705.55</v>
      </c>
      <c r="D145" s="86">
        <f>(D115+D128+D144)</f>
        <v>25141.01</v>
      </c>
      <c r="E145" s="86">
        <f>(E115+E128+E144)</f>
        <v>51938.369999999995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STARK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17288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17288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522118</v>
      </c>
      <c r="D10" s="182">
        <f>ROUND((C10/$C$28)*100,1)</f>
        <v>58.1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44361</v>
      </c>
      <c r="D11" s="182">
        <f>ROUND((C11/$C$28)*100,1)</f>
        <v>4.9000000000000004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6374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17363</v>
      </c>
      <c r="D15" s="182">
        <f t="shared" ref="D15:D27" si="0">ROUND((C15/$C$28)*100,1)</f>
        <v>1.9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8624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107499</v>
      </c>
      <c r="D17" s="182">
        <f t="shared" si="0"/>
        <v>12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71168</v>
      </c>
      <c r="D18" s="182">
        <f t="shared" si="0"/>
        <v>7.9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43037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54184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6718.83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17676.150000000001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899122.98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21096</v>
      </c>
    </row>
    <row r="30" spans="1:4" x14ac:dyDescent="0.2">
      <c r="B30" s="187" t="s">
        <v>729</v>
      </c>
      <c r="C30" s="180">
        <f>SUM(C28:C29)</f>
        <v>920218.98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448847</v>
      </c>
      <c r="D35" s="182">
        <f t="shared" ref="D35:D40" si="1">ROUND((C35/$C$41)*100,1)</f>
        <v>48.5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5710.640000000014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400274</v>
      </c>
      <c r="D37" s="182">
        <f t="shared" si="1"/>
        <v>43.3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247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70007</v>
      </c>
      <c r="D39" s="182">
        <f t="shared" si="1"/>
        <v>7.6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925085.64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STARK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2015-07-24T15:36:43Z</cp:lastPrinted>
  <dcterms:created xsi:type="dcterms:W3CDTF">1997-12-04T19:04:30Z</dcterms:created>
  <dcterms:modified xsi:type="dcterms:W3CDTF">2015-07-24T15:40:30Z</dcterms:modified>
</cp:coreProperties>
</file>