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68" i="1" l="1"/>
  <c r="F109" i="1"/>
  <c r="F13" i="1"/>
  <c r="F665" i="1" l="1"/>
  <c r="G611" i="1"/>
  <c r="F611" i="1"/>
  <c r="C37" i="12"/>
  <c r="C19" i="12"/>
  <c r="B20" i="12"/>
  <c r="B19" i="12"/>
  <c r="C10" i="12"/>
  <c r="B10" i="12"/>
  <c r="B11" i="12"/>
  <c r="H604" i="1"/>
  <c r="I281" i="1"/>
  <c r="H282" i="1"/>
  <c r="J469" i="1"/>
  <c r="J468" i="1"/>
  <c r="F28" i="1"/>
  <c r="G521" i="1"/>
  <c r="H523" i="1"/>
  <c r="I526" i="1"/>
  <c r="H526" i="1"/>
  <c r="I521" i="1"/>
  <c r="H521" i="1"/>
  <c r="F521" i="1"/>
  <c r="H533" i="1"/>
  <c r="H531" i="1"/>
  <c r="G502" i="1"/>
  <c r="F502" i="1"/>
  <c r="G439" i="1"/>
  <c r="J358" i="1"/>
  <c r="I358" i="1"/>
  <c r="H358" i="1"/>
  <c r="G132" i="1"/>
  <c r="G541" i="1" l="1"/>
  <c r="F541" i="1"/>
  <c r="I276" i="1"/>
  <c r="J276" i="1"/>
  <c r="G282" i="1"/>
  <c r="F282" i="1"/>
  <c r="K285" i="1"/>
  <c r="G287" i="1"/>
  <c r="F287" i="1"/>
  <c r="G283" i="1"/>
  <c r="F283" i="1"/>
  <c r="G279" i="1"/>
  <c r="F279" i="1"/>
  <c r="H244" i="1" l="1"/>
  <c r="H240" i="1"/>
  <c r="H208" i="1"/>
  <c r="H207" i="1"/>
  <c r="H205" i="1"/>
  <c r="H204" i="1"/>
  <c r="K203" i="1"/>
  <c r="H202" i="1"/>
  <c r="H198" i="1"/>
  <c r="H197" i="1"/>
  <c r="H110" i="1"/>
  <c r="H155" i="1"/>
  <c r="H154" i="1"/>
  <c r="G48" i="1" l="1"/>
  <c r="F9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7" i="10" s="1"/>
  <c r="D39" i="13"/>
  <c r="F13" i="13"/>
  <c r="G13" i="13"/>
  <c r="L206" i="1"/>
  <c r="L224" i="1"/>
  <c r="L242" i="1"/>
  <c r="F16" i="13"/>
  <c r="G16" i="13"/>
  <c r="E16" i="13" s="1"/>
  <c r="C16" i="13" s="1"/>
  <c r="L209" i="1"/>
  <c r="L227" i="1"/>
  <c r="C125" i="2" s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C118" i="2" s="1"/>
  <c r="F7" i="13"/>
  <c r="G7" i="13"/>
  <c r="L203" i="1"/>
  <c r="L221" i="1"/>
  <c r="C16" i="10" s="1"/>
  <c r="L239" i="1"/>
  <c r="F12" i="13"/>
  <c r="G12" i="13"/>
  <c r="L205" i="1"/>
  <c r="L223" i="1"/>
  <c r="L241" i="1"/>
  <c r="C121" i="2" s="1"/>
  <c r="F14" i="13"/>
  <c r="G14" i="13"/>
  <c r="L207" i="1"/>
  <c r="L225" i="1"/>
  <c r="C20" i="10" s="1"/>
  <c r="L243" i="1"/>
  <c r="F15" i="13"/>
  <c r="D15" i="13" s="1"/>
  <c r="C15" i="13" s="1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E119" i="2" s="1"/>
  <c r="L283" i="1"/>
  <c r="L284" i="1"/>
  <c r="L285" i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21" i="10"/>
  <c r="L250" i="1"/>
  <c r="L332" i="1"/>
  <c r="L254" i="1"/>
  <c r="C25" i="10"/>
  <c r="L268" i="1"/>
  <c r="L269" i="1"/>
  <c r="L349" i="1"/>
  <c r="L350" i="1"/>
  <c r="I665" i="1"/>
  <c r="I670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C18" i="2" s="1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0" i="2"/>
  <c r="C112" i="2"/>
  <c r="C113" i="2"/>
  <c r="E113" i="2"/>
  <c r="C114" i="2"/>
  <c r="E114" i="2"/>
  <c r="D115" i="2"/>
  <c r="F115" i="2"/>
  <c r="G115" i="2"/>
  <c r="E118" i="2"/>
  <c r="C120" i="2"/>
  <c r="E120" i="2"/>
  <c r="E121" i="2"/>
  <c r="E122" i="2"/>
  <c r="E123" i="2"/>
  <c r="C124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H461" i="1" s="1"/>
  <c r="H641" i="1" s="1"/>
  <c r="I460" i="1"/>
  <c r="I461" i="1" s="1"/>
  <c r="H642" i="1" s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1" i="1"/>
  <c r="G643" i="1"/>
  <c r="H643" i="1"/>
  <c r="G644" i="1"/>
  <c r="G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C26" i="10"/>
  <c r="L351" i="1"/>
  <c r="I662" i="1"/>
  <c r="C70" i="2"/>
  <c r="D62" i="2"/>
  <c r="D63" i="2" s="1"/>
  <c r="D18" i="13"/>
  <c r="C18" i="13" s="1"/>
  <c r="D7" i="13"/>
  <c r="C7" i="13" s="1"/>
  <c r="D18" i="2"/>
  <c r="D17" i="13"/>
  <c r="C17" i="13" s="1"/>
  <c r="C91" i="2"/>
  <c r="F78" i="2"/>
  <c r="F81" i="2" s="1"/>
  <c r="D31" i="2"/>
  <c r="C78" i="2"/>
  <c r="C81" i="2" s="1"/>
  <c r="D50" i="2"/>
  <c r="G157" i="2"/>
  <c r="F18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78" i="2"/>
  <c r="E81" i="2" s="1"/>
  <c r="L427" i="1"/>
  <c r="H112" i="1"/>
  <c r="F112" i="1"/>
  <c r="K605" i="1"/>
  <c r="G648" i="1" s="1"/>
  <c r="J571" i="1"/>
  <c r="K571" i="1"/>
  <c r="L433" i="1"/>
  <c r="L419" i="1"/>
  <c r="I169" i="1"/>
  <c r="H169" i="1"/>
  <c r="G552" i="1"/>
  <c r="J643" i="1"/>
  <c r="I476" i="1"/>
  <c r="H625" i="1" s="1"/>
  <c r="J625" i="1" s="1"/>
  <c r="G476" i="1"/>
  <c r="H623" i="1" s="1"/>
  <c r="J623" i="1" s="1"/>
  <c r="F169" i="1"/>
  <c r="J140" i="1"/>
  <c r="F571" i="1"/>
  <c r="I552" i="1"/>
  <c r="K549" i="1"/>
  <c r="K550" i="1"/>
  <c r="G22" i="2"/>
  <c r="K545" i="1"/>
  <c r="J552" i="1"/>
  <c r="H552" i="1"/>
  <c r="C29" i="10"/>
  <c r="H140" i="1"/>
  <c r="L401" i="1"/>
  <c r="C139" i="2" s="1"/>
  <c r="L393" i="1"/>
  <c r="C138" i="2" s="1"/>
  <c r="F22" i="13"/>
  <c r="H25" i="13"/>
  <c r="C25" i="13" s="1"/>
  <c r="H571" i="1"/>
  <c r="L560" i="1"/>
  <c r="J545" i="1"/>
  <c r="G192" i="1"/>
  <c r="H192" i="1"/>
  <c r="F552" i="1"/>
  <c r="C35" i="10"/>
  <c r="J655" i="1"/>
  <c r="L570" i="1"/>
  <c r="I571" i="1"/>
  <c r="I545" i="1"/>
  <c r="G36" i="2"/>
  <c r="L565" i="1"/>
  <c r="K551" i="1"/>
  <c r="C22" i="13"/>
  <c r="H33" i="13"/>
  <c r="E112" i="2" l="1"/>
  <c r="F338" i="1"/>
  <c r="F352" i="1" s="1"/>
  <c r="C10" i="10"/>
  <c r="H338" i="1"/>
  <c r="H352" i="1" s="1"/>
  <c r="E111" i="2"/>
  <c r="E115" i="2" s="1"/>
  <c r="K338" i="1"/>
  <c r="K352" i="1" s="1"/>
  <c r="G338" i="1"/>
  <c r="G352" i="1" s="1"/>
  <c r="J338" i="1"/>
  <c r="J352" i="1" s="1"/>
  <c r="C122" i="2"/>
  <c r="C18" i="10"/>
  <c r="H257" i="1"/>
  <c r="H271" i="1" s="1"/>
  <c r="D6" i="13"/>
  <c r="C6" i="13" s="1"/>
  <c r="C111" i="2"/>
  <c r="L247" i="1"/>
  <c r="H660" i="1" s="1"/>
  <c r="J257" i="1"/>
  <c r="J271" i="1" s="1"/>
  <c r="F257" i="1"/>
  <c r="F271" i="1" s="1"/>
  <c r="A13" i="12"/>
  <c r="C109" i="2"/>
  <c r="C115" i="2" s="1"/>
  <c r="C123" i="2"/>
  <c r="E8" i="13"/>
  <c r="C8" i="13" s="1"/>
  <c r="K257" i="1"/>
  <c r="K271" i="1" s="1"/>
  <c r="G257" i="1"/>
  <c r="G271" i="1" s="1"/>
  <c r="C119" i="2"/>
  <c r="C128" i="2" s="1"/>
  <c r="D5" i="13"/>
  <c r="C5" i="13" s="1"/>
  <c r="L229" i="1"/>
  <c r="I257" i="1"/>
  <c r="I271" i="1" s="1"/>
  <c r="E13" i="13"/>
  <c r="C13" i="13" s="1"/>
  <c r="C19" i="10"/>
  <c r="L211" i="1"/>
  <c r="D12" i="13"/>
  <c r="C12" i="13" s="1"/>
  <c r="A40" i="12"/>
  <c r="C13" i="10"/>
  <c r="H476" i="1"/>
  <c r="H624" i="1" s="1"/>
  <c r="J624" i="1" s="1"/>
  <c r="J476" i="1"/>
  <c r="H626" i="1" s="1"/>
  <c r="F476" i="1"/>
  <c r="H622" i="1" s="1"/>
  <c r="J622" i="1" s="1"/>
  <c r="K598" i="1"/>
  <c r="G647" i="1" s="1"/>
  <c r="J647" i="1" s="1"/>
  <c r="J649" i="1"/>
  <c r="G545" i="1"/>
  <c r="L545" i="1"/>
  <c r="H545" i="1"/>
  <c r="K552" i="1"/>
  <c r="K503" i="1"/>
  <c r="G164" i="2"/>
  <c r="G161" i="2"/>
  <c r="K500" i="1"/>
  <c r="J641" i="1"/>
  <c r="J640" i="1"/>
  <c r="J639" i="1"/>
  <c r="I446" i="1"/>
  <c r="G642" i="1" s="1"/>
  <c r="J642" i="1" s="1"/>
  <c r="H408" i="1"/>
  <c r="H644" i="1" s="1"/>
  <c r="J644" i="1" s="1"/>
  <c r="G408" i="1"/>
  <c r="H645" i="1" s="1"/>
  <c r="J645" i="1" s="1"/>
  <c r="J634" i="1"/>
  <c r="D127" i="2"/>
  <c r="D128" i="2" s="1"/>
  <c r="G661" i="1"/>
  <c r="L362" i="1"/>
  <c r="G635" i="1" s="1"/>
  <c r="J635" i="1" s="1"/>
  <c r="H661" i="1"/>
  <c r="D145" i="2"/>
  <c r="C15" i="10"/>
  <c r="E128" i="2"/>
  <c r="L290" i="1"/>
  <c r="C62" i="2"/>
  <c r="C63" i="2" s="1"/>
  <c r="C104" i="2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J652" i="1"/>
  <c r="G571" i="1"/>
  <c r="I434" i="1"/>
  <c r="G434" i="1"/>
  <c r="E104" i="2"/>
  <c r="I663" i="1"/>
  <c r="H648" i="1" l="1"/>
  <c r="J648" i="1" s="1"/>
  <c r="E33" i="13"/>
  <c r="D35" i="13" s="1"/>
  <c r="L257" i="1"/>
  <c r="L271" i="1" s="1"/>
  <c r="G632" i="1" s="1"/>
  <c r="J632" i="1" s="1"/>
  <c r="C145" i="2"/>
  <c r="F660" i="1"/>
  <c r="F664" i="1" s="1"/>
  <c r="F672" i="1" s="1"/>
  <c r="C4" i="10" s="1"/>
  <c r="E145" i="2"/>
  <c r="G104" i="2"/>
  <c r="I661" i="1"/>
  <c r="G664" i="1"/>
  <c r="C27" i="10"/>
  <c r="C28" i="10" s="1"/>
  <c r="D10" i="10" s="1"/>
  <c r="H664" i="1"/>
  <c r="D31" i="13"/>
  <c r="C31" i="13" s="1"/>
  <c r="L338" i="1"/>
  <c r="L352" i="1" s="1"/>
  <c r="G633" i="1" s="1"/>
  <c r="J633" i="1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I660" i="1" l="1"/>
  <c r="I664" i="1" s="1"/>
  <c r="I672" i="1" s="1"/>
  <c r="C7" i="10" s="1"/>
  <c r="F667" i="1"/>
  <c r="D33" i="13"/>
  <c r="D36" i="13" s="1"/>
  <c r="C30" i="10"/>
  <c r="D23" i="10"/>
  <c r="D20" i="10"/>
  <c r="D25" i="10"/>
  <c r="D13" i="10"/>
  <c r="D11" i="10"/>
  <c r="D17" i="10"/>
  <c r="D24" i="10"/>
  <c r="D21" i="10"/>
  <c r="D16" i="10"/>
  <c r="D22" i="10"/>
  <c r="D18" i="10"/>
  <c r="D12" i="10"/>
  <c r="D26" i="10"/>
  <c r="D15" i="10"/>
  <c r="D19" i="10"/>
  <c r="D27" i="10"/>
  <c r="G672" i="1"/>
  <c r="C5" i="10" s="1"/>
  <c r="G667" i="1"/>
  <c r="H667" i="1"/>
  <c r="H672" i="1"/>
  <c r="C6" i="10" s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<sst xmlns="http://schemas.openxmlformats.org/spreadsheetml/2006/main" count="3962" uniqueCount="914">
  <si>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</si>
  <si>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</si>
  <si>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</si>
  <si>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</si>
  <si>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</si>
  <si>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</si>
  <si>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</si>
  <si>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</si>
  <si>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</si>
  <si>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</si>
  <si>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</si>
  <si>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</si>
  <si>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</si>
  <si>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</si>
  <si>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</si>
  <si>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</si>
  <si>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</si>
  <si>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</si>
  <si>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</si>
  <si>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</si>
  <si>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</si>
  <si>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</si>
  <si>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</si>
  <si>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</si>
  <si>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</si>
  <si>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</si>
  <si>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</si>
  <si>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</si>
  <si>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</si>
  <si>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</si>
  <si>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</si>
  <si>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</si>
  <si>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</si>
  <si>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</si>
  <si>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</si>
  <si>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</si>
  <si>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</si>
  <si>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</si>
  <si>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</si>
  <si>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</si>
  <si>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</si>
  <si>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</si>
  <si>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</si>
  <si>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</si>
  <si>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</si>
  <si>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</si>
  <si>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</si>
  <si>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</si>
  <si>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</si>
  <si>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</si>
  <si>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</si>
  <si>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</si>
  <si>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</si>
  <si>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</si>
  <si>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</si>
  <si>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</si>
  <si>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</si>
  <si>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</si>
  <si>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</si>
  <si>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</si>
  <si>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</si>
  <si>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</si>
  <si>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</si>
  <si>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</si>
  <si>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</si>
  <si>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</si>
  <si>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</si>
  <si>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</si>
  <si>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</si>
  <si>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</si>
  <si>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</si>
  <si>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</si>
  <si>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</si>
  <si>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</si>
  <si>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</si>
  <si>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</si>
  <si>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</si>
  <si>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</si>
  <si>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</si>
  <si>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</si>
  <si>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</si>
  <si>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</si>
  <si>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</si>
  <si>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</si>
  <si>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</si>
  <si>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</si>
  <si>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</si>
  <si>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</si>
  <si>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</si>
  <si>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</si>
  <si>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</si>
  <si>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</si>
  <si>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</si>
  <si>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</si>
  <si>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</si>
  <si>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</si>
  <si>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</si>
  <si>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</si>
  <si>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</si>
  <si>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</si>
  <si>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</si>
  <si>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</si>
  <si>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</si>
  <si>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</si>
  <si>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</si>
  <si>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</si>
  <si>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</si>
  <si>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</si>
  <si>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</si>
  <si>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</si>
  <si>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</si>
  <si>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</si>
  <si>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</si>
  <si>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</si>
  <si>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</si>
  <si>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</si>
  <si>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</si>
  <si>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</si>
  <si>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</si>
  <si>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</si>
  <si>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</si>
  <si>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</si>
  <si>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</si>
  <si>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</si>
  <si>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</si>
  <si>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</si>
  <si>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</si>
  <si>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</si>
  <si>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</si>
  <si>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</si>
  <si>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</si>
  <si>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</si>
  <si>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</si>
  <si>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</si>
  <si>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</si>
  <si>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</si>
  <si>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</si>
  <si>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</si>
  <si>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</si>
  <si>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</si>
  <si>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</si>
  <si>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</si>
  <si>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</si>
  <si>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</si>
  <si>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</si>
  <si>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</si>
  <si>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</si>
  <si>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</si>
  <si>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</si>
  <si>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</si>
  <si>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</si>
  <si>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</si>
  <si>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</si>
  <si>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</si>
  <si>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</si>
  <si>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</si>
  <si>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</si>
  <si>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</si>
  <si>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</si>
  <si>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</si>
  <si>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</si>
  <si>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</si>
  <si>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</si>
  <si>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</si>
  <si>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</si>
  <si>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</si>
  <si>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</si>
  <si>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</si>
  <si>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</si>
  <si>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</si>
  <si>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</si>
  <si>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</si>
  <si>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</si>
  <si>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</si>
  <si>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</si>
  <si>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</si>
  <si>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</si>
  <si>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</si>
  <si>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</si>
  <si>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</si>
  <si>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</si>
  <si>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</si>
  <si>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</si>
  <si>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</si>
  <si>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</si>
  <si>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</si>
  <si>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</si>
  <si>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</si>
  <si>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</si>
  <si>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</si>
  <si>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</si>
  <si>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</si>
  <si>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</si>
  <si>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</si>
  <si>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</si>
  <si>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</si>
  <si>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</si>
  <si>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</si>
  <si>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</si>
  <si>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</si>
  <si>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</si>
  <si>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</si>
  <si>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</si>
  <si>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</si>
  <si>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</si>
  <si>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</si>
  <si>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</si>
  <si>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</si>
  <si>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</si>
  <si>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</si>
  <si>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</si>
  <si>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</si>
  <si>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</si>
  <si>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</si>
  <si>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</si>
  <si>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</si>
  <si>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</si>
  <si>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</si>
  <si>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</si>
  <si>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</si>
  <si>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</si>
  <si>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</si>
  <si>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</si>
  <si>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</si>
  <si>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</si>
  <si>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</si>
  <si>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</si>
  <si>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</si>
  <si>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</si>
  <si>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</si>
  <si>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</si>
  <si>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</si>
  <si>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</si>
  <si>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</si>
  <si>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</si>
  <si>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</si>
  <si>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</si>
  <si>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</si>
  <si>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</si>
  <si>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</si>
  <si>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</si>
  <si>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</si>
  <si>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</si>
  <si>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</si>
  <si>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</si>
  <si>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</si>
  <si>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</si>
  <si>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</si>
  <si>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</si>
  <si>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</si>
  <si>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</si>
  <si>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</si>
  <si>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</si>
  <si>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</si>
  <si>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</si>
  <si>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</si>
  <si>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</si>
  <si>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</si>
  <si>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</si>
  <si>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</si>
  <si>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</si>
  <si>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</si>
  <si>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</si>
  <si>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</si>
  <si>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</si>
  <si>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</si>
  <si>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</si>
  <si>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</si>
  <si>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</si>
  <si>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</si>
  <si>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</si>
  <si>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</si>
  <si>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</si>
  <si>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</si>
  <si>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</si>
  <si>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</si>
  <si>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</si>
  <si>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</si>
  <si>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</si>
  <si>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</si>
  <si>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</si>
  <si>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</si>
  <si>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</si>
  <si>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</si>
  <si>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</si>
  <si>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</si>
  <si>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</si>
  <si>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</si>
  <si>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</si>
  <si>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</si>
  <si>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</si>
  <si>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</si>
  <si>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</si>
  <si>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</si>
  <si>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</si>
  <si>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</si>
  <si>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</si>
  <si>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</si>
  <si>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</si>
  <si>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</si>
  <si>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</si>
  <si>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</si>
  <si>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</si>
  <si>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</si>
  <si>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</si>
  <si>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</si>
  <si>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</si>
  <si>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</si>
  <si>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</si>
  <si>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</si>
  <si>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</si>
  <si>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</si>
  <si>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</si>
  <si>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</si>
  <si>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</si>
  <si>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</si>
  <si>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</si>
  <si>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</si>
  <si>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</si>
  <si>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</si>
  <si>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</si>
  <si>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</si>
  <si>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</si>
  <si>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</si>
  <si>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</si>
  <si>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</si>
  <si>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</si>
  <si>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</si>
  <si>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</si>
  <si>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</si>
  <si>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</si>
  <si>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</si>
  <si>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</si>
  <si>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</si>
  <si>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</si>
  <si>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</si>
  <si>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</si>
  <si>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</si>
  <si>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</si>
  <si>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</si>
  <si>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</si>
  <si>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</si>
  <si>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</si>
  <si>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</si>
  <si>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</si>
  <si>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</si>
  <si>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</si>
  <si>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</si>
  <si>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</si>
  <si>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</si>
  <si>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</si>
  <si>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</si>
  <si>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</si>
  <si>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</si>
  <si>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</si>
  <si>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</si>
  <si>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</si>
  <si>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</si>
  <si>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</si>
  <si>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</si>
  <si>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</si>
  <si>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</si>
  <si>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</si>
  <si>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</si>
  <si>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</si>
  <si>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</si>
  <si>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</si>
  <si>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</si>
  <si>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</si>
  <si>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</si>
  <si>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</si>
  <si>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</si>
  <si>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</si>
  <si>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</si>
  <si>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</si>
  <si>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</si>
  <si>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</si>
  <si>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</si>
  <si>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</si>
  <si>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</si>
  <si>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</si>
  <si>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</si>
  <si>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</si>
  <si>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</si>
  <si>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</si>
  <si>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</si>
  <si>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</si>
  <si>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</si>
  <si>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</si>
  <si>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</si>
  <si>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</si>
  <si>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</si>
  <si>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</si>
  <si>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</si>
  <si>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</si>
  <si>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</si>
  <si>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</si>
  <si>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</si>
  <si>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</si>
  <si>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</si>
  <si>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</si>
  <si>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</si>
  <si>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</si>
  <si>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</si>
  <si>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</si>
  <si>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</si>
  <si>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</si>
  <si>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</si>
  <si>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</si>
  <si>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</si>
  <si>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</si>
  <si>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</si>
  <si>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</si>
  <si>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</si>
  <si>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</si>
  <si>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</si>
  <si>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</si>
  <si>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</si>
  <si>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</si>
  <si>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</si>
  <si>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</si>
  <si>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</si>
  <si>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</si>
  <si>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</si>
  <si>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</si>
  <si>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</si>
  <si>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</si>
  <si>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</si>
  <si>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</si>
  <si>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</si>
  <si>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</si>
  <si>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</si>
  <si>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</si>
  <si>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</si>
  <si>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</si>
  <si>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</si>
  <si>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</si>
  <si>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</si>
  <si>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</si>
  <si>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</si>
  <si>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</si>
  <si>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</si>
  <si>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</si>
  <si>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</si>
  <si>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</si>
  <si>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</si>
  <si>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</si>
  <si>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</si>
  <si>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</si>
  <si>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</si>
  <si>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</si>
  <si>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</si>
  <si>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</si>
  <si>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</si>
  <si>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</si>
  <si>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</si>
  <si>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</si>
  <si>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</si>
  <si>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</si>
  <si>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</si>
  <si>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</si>
  <si>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</si>
  <si>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</si>
  <si>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</si>
  <si>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</si>
  <si>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</si>
  <si>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</si>
  <si>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</si>
  <si>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</si>
  <si>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</si>
  <si>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</si>
  <si>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</si>
  <si>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</si>
  <si>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</si>
  <si>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</si>
  <si>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</si>
  <si>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</si>
  <si>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</si>
  <si>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</si>
  <si>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</si>
  <si>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</si>
  <si>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</si>
  <si>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</si>
  <si>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</si>
  <si>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</si>
  <si>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</si>
  <si>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</si>
  <si>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</si>
  <si>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</si>
  <si>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</si>
  <si>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</si>
  <si>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</si>
  <si>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</si>
  <si>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</si>
  <si>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</si>
  <si>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</si>
  <si>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</si>
  <si>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</si>
  <si>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</si>
  <si>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</si>
  <si>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</si>
  <si>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</si>
  <si>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</si>
  <si>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</si>
  <si>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</si>
  <si>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</si>
  <si>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</si>
  <si>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</si>
  <si>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</si>
  <si>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</si>
  <si>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</si>
  <si>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</si>
  <si>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</si>
  <si>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</si>
  <si>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</si>
  <si>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</si>
  <si>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</si>
  <si>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</si>
  <si>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</si>
  <si>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</si>
  <si>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</si>
  <si>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</si>
  <si>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</si>
  <si>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</si>
  <si>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</si>
  <si>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</si>
  <si>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</si>
  <si>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</si>
  <si>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</si>
  <si>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</si>
  <si>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</si>
  <si>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</si>
  <si>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</si>
  <si>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</si>
  <si>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</si>
  <si>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</si>
  <si>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</si>
  <si>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</si>
  <si>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</si>
  <si>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</si>
  <si>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</si>
  <si>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</si>
  <si>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</si>
  <si>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</si>
  <si>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</si>
  <si>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</si>
  <si>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</si>
  <si>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</si>
  <si>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</si>
  <si>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</si>
  <si>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</si>
  <si>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</si>
  <si>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</si>
  <si>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</si>
  <si>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</si>
  <si>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</si>
  <si>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</si>
  <si>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</si>
  <si>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</si>
  <si>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</si>
  <si>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</si>
  <si>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</si>
  <si>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</si>
  <si>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</si>
  <si>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</si>
  <si>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</si>
  <si>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</si>
  <si>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</si>
  <si>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</si>
  <si>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</si>
  <si>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</si>
  <si>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</si>
  <si>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</si>
  <si>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</si>
  <si>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</si>
  <si>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</si>
  <si>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</si>
  <si>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</si>
  <si>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</si>
  <si>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</si>
  <si>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</si>
  <si>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</si>
  <si>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</si>
  <si>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</si>
  <si>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</si>
  <si>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</si>
  <si>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</si>
  <si>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</si>
  <si>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</si>
  <si>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</si>
  <si>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</si>
  <si>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</si>
  <si>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</si>
  <si>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</si>
  <si>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</si>
  <si>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</si>
  <si>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</si>
  <si>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</si>
  <si>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</si>
  <si>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</si>
  <si>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</si>
  <si>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</si>
  <si>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</si>
  <si>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</si>
  <si>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</si>
  <si>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</si>
  <si>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</si>
  <si>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</si>
  <si>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</si>
  <si>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</si>
  <si>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</si>
  <si>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</si>
  <si>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</si>
  <si>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</si>
  <si>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</si>
  <si>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</si>
  <si>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</si>
  <si>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</si>
  <si>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</si>
  <si>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</si>
  <si>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</si>
  <si>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</si>
  <si>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</si>
  <si>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</si>
  <si>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</si>
  <si>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</si>
  <si>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</si>
  <si>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</si>
  <si>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</si>
  <si>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</si>
  <si>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</si>
  <si>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</si>
  <si>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</si>
  <si>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</si>
  <si>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</si>
  <si>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</si>
  <si>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</si>
  <si>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</si>
  <si>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</si>
  <si>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</si>
  <si>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</si>
  <si>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</si>
  <si>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</si>
  <si>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</si>
  <si>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</si>
  <si>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</si>
  <si>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</si>
  <si>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</si>
  <si>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</si>
  <si>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</si>
  <si>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</si>
  <si>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</si>
  <si>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</si>
  <si>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</si>
  <si>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</si>
  <si>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</si>
  <si>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</si>
  <si>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</si>
  <si>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</si>
  <si>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</si>
  <si>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</si>
  <si>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</si>
  <si>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</si>
  <si>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</si>
  <si>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</si>
  <si>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</si>
  <si>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</si>
  <si>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</si>
  <si>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</si>
  <si>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</si>
  <si>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</si>
  <si>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</si>
  <si>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</si>
  <si>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</si>
  <si>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</si>
  <si>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</si>
  <si>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</si>
  <si>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</si>
  <si>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</si>
  <si>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</si>
  <si>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</si>
  <si>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</si>
  <si>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</si>
  <si>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</si>
  <si>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</si>
  <si>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</si>
  <si>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</si>
  <si>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</si>
  <si>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</si>
  <si>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</si>
  <si>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</si>
  <si>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</si>
  <si>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</si>
  <si>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</si>
  <si>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</si>
  <si>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</si>
  <si>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</si>
  <si>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</si>
  <si>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</si>
  <si>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</si>
  <si>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</si>
  <si>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</si>
  <si>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</si>
  <si>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</si>
  <si>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</si>
  <si>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</si>
  <si>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</si>
  <si>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</si>
  <si>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</si>
  <si>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</si>
  <si>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</si>
  <si>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</si>
  <si>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</si>
  <si>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</si>
  <si>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</si>
  <si>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</si>
  <si>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</si>
  <si>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</si>
  <si>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</si>
  <si>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</si>
  <si>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</si>
  <si>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</si>
  <si>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</si>
  <si>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</si>
  <si>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</si>
  <si>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</si>
  <si>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</si>
  <si>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</si>
  <si>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</si>
  <si>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</si>
  <si>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</si>
  <si>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</si>
  <si>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</si>
  <si>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</si>
  <si>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</si>
  <si>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</si>
  <si>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</si>
  <si>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</si>
  <si>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</si>
  <si>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</si>
  <si>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</si>
  <si>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</si>
  <si>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</si>
  <si>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</si>
  <si>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</si>
  <si>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</si>
  <si>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</si>
  <si>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</si>
  <si>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</si>
  <si>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</si>
  <si>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</si>
  <si>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</si>
  <si>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</si>
  <si>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</si>
  <si>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</si>
  <si>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</si>
  <si>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</si>
  <si>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</si>
  <si>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</si>
  <si>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</si>
  <si>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</si>
  <si>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</si>
  <si>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</si>
  <si>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</si>
  <si>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</si>
  <si>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</si>
  <si>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</si>
  <si>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</si>
  <si>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</si>
  <si>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</si>
  <si>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</si>
  <si>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</si>
  <si>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</si>
  <si>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</si>
  <si>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</si>
  <si>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</si>
  <si>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</si>
  <si>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</si>
  <si>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</si>
  <si>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</si>
  <si>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</si>
  <si>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</si>
  <si>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</si>
  <si>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</si>
  <si>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</si>
  <si>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</si>
  <si>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</si>
  <si>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</si>
  <si>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</si>
  <si>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</si>
  <si>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</si>
  <si>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</si>
  <si>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</si>
  <si>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</si>
  <si>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</si>
  <si>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</si>
  <si>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</si>
  <si>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</si>
  <si>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</si>
  <si>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</si>
  <si>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</si>
  <si>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</si>
  <si>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</si>
  <si>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</si>
  <si>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</si>
  <si>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</si>
  <si>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</si>
  <si>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</si>
  <si>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</si>
  <si>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</si>
  <si>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</si>
  <si>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</si>
  <si>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</si>
  <si>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</si>
  <si>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</si>
  <si>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</si>
  <si>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</si>
  <si>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</si>
  <si>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</si>
  <si>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</si>
  <si>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</si>
  <si>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</si>
  <si>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</si>
  <si>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</si>
  <si>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</si>
  <si>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</si>
  <si>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</si>
  <si>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</si>
  <si>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</si>
  <si>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</si>
  <si>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</si>
  <si>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</si>
  <si>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</si>
  <si>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</si>
  <si>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</si>
  <si>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</si>
  <si>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</si>
  <si>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</si>
  <si>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</si>
  <si>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</si>
  <si>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</si>
  <si>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</si>
  <si>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</si>
  <si>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</si>
  <si>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</si>
  <si>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</si>
  <si>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</si>
  <si>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</si>
  <si>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</si>
  <si>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</si>
  <si>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</si>
  <si>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</si>
  <si>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</si>
  <si>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</si>
  <si>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</si>
  <si>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</si>
  <si>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</si>
  <si>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</si>
  <si>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</si>
  <si>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</si>
  <si>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</si>
  <si>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</si>
  <si>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</si>
  <si>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</si>
  <si>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</si>
  <si>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</si>
  <si>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</si>
  <si>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</si>
  <si>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</si>
  <si>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</si>
  <si>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</si>
  <si>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</si>
  <si>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</si>
  <si>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</si>
  <si>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</si>
  <si>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</si>
  <si>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</si>
  <si>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</si>
  <si>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</si>
  <si>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</si>
  <si>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</si>
  <si>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</si>
  <si>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</si>
  <si>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</si>
  <si>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</si>
  <si>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</si>
  <si>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</si>
  <si>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</si>
  <si>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</si>
  <si>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</si>
  <si>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</si>
  <si>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</si>
  <si>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</si>
  <si>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</si>
  <si>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</si>
  <si>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</si>
  <si>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</si>
  <si>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</si>
  <si>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</si>
  <si>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</si>
  <si>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</si>
  <si>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</si>
  <si>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</si>
  <si>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</si>
  <si>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</si>
  <si>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</si>
  <si>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</si>
  <si>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</si>
  <si>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</si>
  <si>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</si>
  <si>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</si>
  <si>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STEWARTSTOWN SCHOOL DISTRICT</t>
  </si>
  <si>
    <t>08/2017</t>
  </si>
  <si>
    <t>08/1997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</si>
</sst>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02" activePane="bottomRight" state="frozen"/>
      <selection pane="topRight" activeCell="F1" sqref="F1"/>
      <selection pane="bottomLeft" activeCell="A4" sqref="A4"/>
      <selection pane="bottomRight" activeCell="F49" sqref="F49: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501</v>
      </c>
      <c r="C2" s="21">
        <v>501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187142.07+35287.5</f>
        <v>222429.57</v>
      </c>
      <c r="G9" s="18">
        <v>4611.3599999999997</v>
      </c>
      <c r="H9" s="18"/>
      <c r="I9" s="18"/>
      <c r="J9" s="67">
        <f>SUM(I439)</f>
        <v>254994.32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84151.039999999994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198.8+3101.54+3101.54</f>
        <v>6401.88</v>
      </c>
      <c r="G13" s="18">
        <v>1595.97</v>
      </c>
      <c r="H13" s="18">
        <v>96732.95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118.1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546.95000000000005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312982.49</v>
      </c>
      <c r="G19" s="41">
        <f>SUM(G9:G18)</f>
        <v>6872.38</v>
      </c>
      <c r="H19" s="41">
        <f>SUM(H9:H18)</f>
        <v>96732.95</v>
      </c>
      <c r="I19" s="41">
        <f>SUM(I9:I18)</f>
        <v>0</v>
      </c>
      <c r="J19" s="41">
        <f>SUM(J9:J18)</f>
        <v>254994.32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84151.039999999994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55702.45</v>
      </c>
      <c r="G24" s="18">
        <v>1787.31</v>
      </c>
      <c r="H24" s="18">
        <v>11719.55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10240.05+444.7+796.78+1271.41</f>
        <v>12752.94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3582.88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3101.54</v>
      </c>
      <c r="G30" s="18"/>
      <c r="H30" s="18">
        <v>862.36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75139.81</v>
      </c>
      <c r="G32" s="41">
        <f>SUM(G22:G31)</f>
        <v>1787.31</v>
      </c>
      <c r="H32" s="41">
        <f>SUM(H22:H31)</f>
        <v>96732.95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546.95000000000005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32380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f>4782.99+64966.85-65211.72</f>
        <v>4538.1199999999953</v>
      </c>
      <c r="H48" s="18"/>
      <c r="I48" s="18"/>
      <c r="J48" s="13">
        <f>SUM(I459)</f>
        <v>254994.32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9149.27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196313.41000000012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237842.68000000011</v>
      </c>
      <c r="G51" s="41">
        <f>SUM(G35:G50)</f>
        <v>5085.0699999999952</v>
      </c>
      <c r="H51" s="41">
        <f>SUM(H35:H50)</f>
        <v>0</v>
      </c>
      <c r="I51" s="41">
        <f>SUM(I35:I50)</f>
        <v>0</v>
      </c>
      <c r="J51" s="41">
        <f>SUM(J35:J50)</f>
        <v>254994.32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312982.49000000011</v>
      </c>
      <c r="G52" s="41">
        <f>G51+G32</f>
        <v>6872.3799999999956</v>
      </c>
      <c r="H52" s="41">
        <f>H51+H32</f>
        <v>96732.95</v>
      </c>
      <c r="I52" s="41">
        <f>I51+I32</f>
        <v>0</v>
      </c>
      <c r="J52" s="41">
        <f>J51+J32</f>
        <v>254994.32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1107214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1107214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209.22</v>
      </c>
      <c r="G96" s="18"/>
      <c r="H96" s="18"/>
      <c r="I96" s="18"/>
      <c r="J96" s="18">
        <v>301.57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13935.62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f>18916.33+3101.54</f>
        <v>22017.870000000003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>
        <f>3268.9+700.15</f>
        <v>3969.05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22227.090000000004</v>
      </c>
      <c r="G111" s="41">
        <f>SUM(G96:G110)</f>
        <v>13935.62</v>
      </c>
      <c r="H111" s="41">
        <f>SUM(H96:H110)</f>
        <v>3969.05</v>
      </c>
      <c r="I111" s="41">
        <f>SUM(I96:I110)</f>
        <v>0</v>
      </c>
      <c r="J111" s="41">
        <f>SUM(J96:J110)</f>
        <v>301.57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1129441.0900000001</v>
      </c>
      <c r="G112" s="41">
        <f>G60+G111</f>
        <v>13935.62</v>
      </c>
      <c r="H112" s="41">
        <f>H60+H79+H94+H111</f>
        <v>3969.05</v>
      </c>
      <c r="I112" s="41">
        <f>I60+I111</f>
        <v>0</v>
      </c>
      <c r="J112" s="41">
        <f>J60+J111</f>
        <v>301.57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536871.36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187966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724837.36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14086.24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50075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f>849.44</f>
        <v>849.44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>
        <v>9000</v>
      </c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64161.24</v>
      </c>
      <c r="G136" s="41">
        <f>SUM(G123:G135)</f>
        <v>9849.44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788998.6</v>
      </c>
      <c r="G140" s="41">
        <f>G121+SUM(G136:G137)</f>
        <v>9849.44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12381.09+98253.62</f>
        <v>110634.70999999999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12007.9+4261.56+9253.64+14328+15948.58+34238.25+11807.65+4660.82</f>
        <v>106506.4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31781.79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4325.79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4325.79</v>
      </c>
      <c r="G162" s="41">
        <f>SUM(G150:G161)</f>
        <v>31781.79</v>
      </c>
      <c r="H162" s="41">
        <f>SUM(H150:H161)</f>
        <v>217141.11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4325.79</v>
      </c>
      <c r="G169" s="41">
        <f>G147+G162+SUM(G163:G168)</f>
        <v>31781.79</v>
      </c>
      <c r="H169" s="41">
        <f>H147+H162+SUM(H163:H168)</f>
        <v>217141.11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9400</v>
      </c>
      <c r="H179" s="18"/>
      <c r="I179" s="18"/>
      <c r="J179" s="18">
        <v>45000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9400</v>
      </c>
      <c r="H183" s="41">
        <f>SUM(H179:H182)</f>
        <v>0</v>
      </c>
      <c r="I183" s="41">
        <f>SUM(I179:I182)</f>
        <v>0</v>
      </c>
      <c r="J183" s="41">
        <f>SUM(J179:J182)</f>
        <v>45000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 t="s">
        <v>287</v>
      </c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9400</v>
      </c>
      <c r="H192" s="41">
        <f>+H183+SUM(H188:H191)</f>
        <v>0</v>
      </c>
      <c r="I192" s="41">
        <f>I177+I183+SUM(I188:I191)</f>
        <v>0</v>
      </c>
      <c r="J192" s="41">
        <f>J183</f>
        <v>45000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1922765.48</v>
      </c>
      <c r="G193" s="47">
        <f>G112+G140+G169+G192</f>
        <v>64966.850000000006</v>
      </c>
      <c r="H193" s="47">
        <f>H112+H140+H169+H192</f>
        <v>221110.15999999997</v>
      </c>
      <c r="I193" s="47">
        <f>I112+I140+I169+I192</f>
        <v>0</v>
      </c>
      <c r="J193" s="47">
        <f>J112+J140+J192</f>
        <v>45301.57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248126.63</v>
      </c>
      <c r="G197" s="18">
        <v>156552.65</v>
      </c>
      <c r="H197" s="18">
        <f>17490.16+1005.44+3927</f>
        <v>22422.6</v>
      </c>
      <c r="I197" s="18">
        <v>26616.26</v>
      </c>
      <c r="J197" s="18">
        <v>1586.88</v>
      </c>
      <c r="K197" s="18">
        <v>188.25</v>
      </c>
      <c r="L197" s="19">
        <f>SUM(F197:K197)</f>
        <v>455493.27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102017.67</v>
      </c>
      <c r="G198" s="18">
        <v>21708.04</v>
      </c>
      <c r="H198" s="18">
        <f>5280+2240</f>
        <v>7520</v>
      </c>
      <c r="I198" s="18">
        <v>931.94</v>
      </c>
      <c r="J198" s="18">
        <v>105.95</v>
      </c>
      <c r="K198" s="18"/>
      <c r="L198" s="19">
        <f>SUM(F198:K198)</f>
        <v>132283.6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14283.4</v>
      </c>
      <c r="G202" s="18">
        <v>1092.6400000000001</v>
      </c>
      <c r="H202" s="18">
        <f>144154.48+110</f>
        <v>144264.48000000001</v>
      </c>
      <c r="I202" s="18">
        <v>5735.75</v>
      </c>
      <c r="J202" s="18">
        <v>13092.96</v>
      </c>
      <c r="K202" s="18">
        <v>859.95</v>
      </c>
      <c r="L202" s="19">
        <f t="shared" ref="L202:L208" si="0">SUM(F202:K202)</f>
        <v>179329.18000000002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24736.21</v>
      </c>
      <c r="G203" s="18">
        <v>1986.76</v>
      </c>
      <c r="H203" s="18">
        <v>70</v>
      </c>
      <c r="I203" s="18">
        <v>1437.1</v>
      </c>
      <c r="J203" s="18"/>
      <c r="K203" s="18">
        <f>696+950</f>
        <v>1646</v>
      </c>
      <c r="L203" s="19">
        <f t="shared" si="0"/>
        <v>29876.069999999996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1842.5</v>
      </c>
      <c r="G204" s="18">
        <v>140.96</v>
      </c>
      <c r="H204" s="18">
        <f>69738.94+4650.6</f>
        <v>74389.540000000008</v>
      </c>
      <c r="I204" s="18">
        <v>329.39</v>
      </c>
      <c r="J204" s="18"/>
      <c r="K204" s="18">
        <v>1997.61</v>
      </c>
      <c r="L204" s="19">
        <f t="shared" si="0"/>
        <v>78700.000000000015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70378.34</v>
      </c>
      <c r="G205" s="18">
        <v>43852.99</v>
      </c>
      <c r="H205" s="18">
        <f>143.61+1083.6+2097.7</f>
        <v>3324.91</v>
      </c>
      <c r="I205" s="18">
        <v>2521.12</v>
      </c>
      <c r="J205" s="18"/>
      <c r="K205" s="18">
        <v>448</v>
      </c>
      <c r="L205" s="19">
        <f t="shared" si="0"/>
        <v>120525.35999999999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25632.99</v>
      </c>
      <c r="G207" s="18">
        <v>16880.66</v>
      </c>
      <c r="H207" s="18">
        <f>1923.83+82662.73+5578</f>
        <v>90164.56</v>
      </c>
      <c r="I207" s="18">
        <v>39588.18</v>
      </c>
      <c r="J207" s="18">
        <v>6514.73</v>
      </c>
      <c r="K207" s="18">
        <v>1706.75</v>
      </c>
      <c r="L207" s="19">
        <f t="shared" si="0"/>
        <v>180487.87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24848.21</v>
      </c>
      <c r="G208" s="18">
        <v>2279.86</v>
      </c>
      <c r="H208" s="18">
        <f>9036.27+2646.41</f>
        <v>11682.68</v>
      </c>
      <c r="I208" s="18">
        <v>9862.43</v>
      </c>
      <c r="J208" s="18"/>
      <c r="K208" s="18">
        <v>502.37</v>
      </c>
      <c r="L208" s="19">
        <f t="shared" si="0"/>
        <v>49175.55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511865.95</v>
      </c>
      <c r="G211" s="41">
        <f t="shared" si="1"/>
        <v>244494.56</v>
      </c>
      <c r="H211" s="41">
        <f t="shared" si="1"/>
        <v>353838.77</v>
      </c>
      <c r="I211" s="41">
        <f t="shared" si="1"/>
        <v>87022.169999999984</v>
      </c>
      <c r="J211" s="41">
        <f t="shared" si="1"/>
        <v>21300.519999999997</v>
      </c>
      <c r="K211" s="41">
        <f t="shared" si="1"/>
        <v>7348.9299999999994</v>
      </c>
      <c r="L211" s="41">
        <f t="shared" si="1"/>
        <v>1225870.9000000001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550651.56999999995</v>
      </c>
      <c r="I233" s="18"/>
      <c r="J233" s="18"/>
      <c r="K233" s="18"/>
      <c r="L233" s="19">
        <f>SUM(F233:K233)</f>
        <v>550651.56999999995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63.73</v>
      </c>
      <c r="G234" s="18">
        <v>4.87</v>
      </c>
      <c r="H234" s="18">
        <v>24831.46</v>
      </c>
      <c r="I234" s="18"/>
      <c r="J234" s="18"/>
      <c r="K234" s="18"/>
      <c r="L234" s="19">
        <f>SUM(F234:K234)</f>
        <v>24900.059999999998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522.9</v>
      </c>
      <c r="G239" s="18">
        <v>40</v>
      </c>
      <c r="H239" s="18"/>
      <c r="I239" s="18"/>
      <c r="J239" s="18"/>
      <c r="K239" s="18"/>
      <c r="L239" s="19">
        <f t="shared" si="4"/>
        <v>562.9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1182.5</v>
      </c>
      <c r="G240" s="18">
        <v>90.48</v>
      </c>
      <c r="H240" s="18">
        <f>29793.26+1567.12</f>
        <v>31360.379999999997</v>
      </c>
      <c r="I240" s="18">
        <v>5.76</v>
      </c>
      <c r="J240" s="18"/>
      <c r="K240" s="18">
        <v>791.07</v>
      </c>
      <c r="L240" s="19">
        <f t="shared" si="4"/>
        <v>33430.189999999995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12160.24</v>
      </c>
      <c r="G244" s="18">
        <v>1070.76</v>
      </c>
      <c r="H244" s="18">
        <f>3872.68+964.46</f>
        <v>4837.1399999999994</v>
      </c>
      <c r="I244" s="18">
        <v>4121.51</v>
      </c>
      <c r="J244" s="18"/>
      <c r="K244" s="18">
        <v>47.99</v>
      </c>
      <c r="L244" s="19">
        <f t="shared" si="4"/>
        <v>22237.640000000003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13929.369999999999</v>
      </c>
      <c r="G247" s="41">
        <f t="shared" si="5"/>
        <v>1206.1099999999999</v>
      </c>
      <c r="H247" s="41">
        <f t="shared" si="5"/>
        <v>611680.54999999993</v>
      </c>
      <c r="I247" s="41">
        <f t="shared" si="5"/>
        <v>4127.2700000000004</v>
      </c>
      <c r="J247" s="41">
        <f t="shared" si="5"/>
        <v>0</v>
      </c>
      <c r="K247" s="41">
        <f t="shared" si="5"/>
        <v>839.06000000000006</v>
      </c>
      <c r="L247" s="41">
        <f t="shared" si="5"/>
        <v>631782.35999999987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525795.32000000007</v>
      </c>
      <c r="G257" s="41">
        <f t="shared" si="8"/>
        <v>245700.66999999998</v>
      </c>
      <c r="H257" s="41">
        <f t="shared" si="8"/>
        <v>965519.32</v>
      </c>
      <c r="I257" s="41">
        <f t="shared" si="8"/>
        <v>91149.439999999988</v>
      </c>
      <c r="J257" s="41">
        <f t="shared" si="8"/>
        <v>21300.519999999997</v>
      </c>
      <c r="K257" s="41">
        <f t="shared" si="8"/>
        <v>8187.99</v>
      </c>
      <c r="L257" s="41">
        <f t="shared" si="8"/>
        <v>1857653.26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45000</v>
      </c>
      <c r="L260" s="19">
        <f>SUM(F260:K260)</f>
        <v>45000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8215</v>
      </c>
      <c r="L261" s="19">
        <f>SUM(F261:K261)</f>
        <v>8215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9400</v>
      </c>
      <c r="L263" s="19">
        <f>SUM(F263:K263)</f>
        <v>9400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45000</v>
      </c>
      <c r="L266" s="19">
        <f t="shared" si="9"/>
        <v>45000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9382.1200000000008</v>
      </c>
      <c r="L268" s="19">
        <f t="shared" si="9"/>
        <v>9382.1200000000008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116997.12</v>
      </c>
      <c r="L270" s="41">
        <f t="shared" si="9"/>
        <v>116997.12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525795.32000000007</v>
      </c>
      <c r="G271" s="42">
        <f t="shared" si="11"/>
        <v>245700.66999999998</v>
      </c>
      <c r="H271" s="42">
        <f t="shared" si="11"/>
        <v>965519.32</v>
      </c>
      <c r="I271" s="42">
        <f t="shared" si="11"/>
        <v>91149.439999999988</v>
      </c>
      <c r="J271" s="42">
        <f t="shared" si="11"/>
        <v>21300.519999999997</v>
      </c>
      <c r="K271" s="42">
        <f t="shared" si="11"/>
        <v>125185.11</v>
      </c>
      <c r="L271" s="42">
        <f t="shared" si="11"/>
        <v>1974650.38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56780.94</v>
      </c>
      <c r="G276" s="18">
        <v>28834.3</v>
      </c>
      <c r="H276" s="18"/>
      <c r="I276" s="18">
        <f>3515.91+1200.58+441.75+3268.9+600.06</f>
        <v>9027.1999999999989</v>
      </c>
      <c r="J276" s="18">
        <f>14748+9546.15</f>
        <v>24294.15</v>
      </c>
      <c r="K276" s="18">
        <v>1819.75</v>
      </c>
      <c r="L276" s="19">
        <f>SUM(F276:K276)</f>
        <v>120756.34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f>9178.06+2028.45</f>
        <v>11206.51</v>
      </c>
      <c r="G279" s="18">
        <f>1891.58+432.35</f>
        <v>2323.9299999999998</v>
      </c>
      <c r="H279" s="18"/>
      <c r="I279" s="18"/>
      <c r="J279" s="18"/>
      <c r="K279" s="18"/>
      <c r="L279" s="19">
        <f>SUM(F279:K279)</f>
        <v>13530.44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42</v>
      </c>
      <c r="G281" s="18">
        <v>3.22</v>
      </c>
      <c r="H281" s="18"/>
      <c r="I281" s="18">
        <f>100.09+883.84</f>
        <v>983.93000000000006</v>
      </c>
      <c r="J281" s="18"/>
      <c r="K281" s="18">
        <v>4660.82</v>
      </c>
      <c r="L281" s="19">
        <f t="shared" ref="L281:L287" si="12">SUM(F281:K281)</f>
        <v>5689.9699999999993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5648.25+1071+6579+1251.3+1400</f>
        <v>15949.55</v>
      </c>
      <c r="G282" s="18">
        <f>1312.37+234.84+1428.64+220.85+305.34</f>
        <v>3502.04</v>
      </c>
      <c r="H282" s="18">
        <f>38980+3832.08</f>
        <v>42812.08</v>
      </c>
      <c r="I282" s="18">
        <v>185.7</v>
      </c>
      <c r="J282" s="18">
        <v>0</v>
      </c>
      <c r="K282" s="18">
        <v>8986</v>
      </c>
      <c r="L282" s="19">
        <f t="shared" si="12"/>
        <v>71435.37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f>287.5+5500</f>
        <v>5787.5</v>
      </c>
      <c r="G283" s="18">
        <f>62.71+1185.95</f>
        <v>1248.6600000000001</v>
      </c>
      <c r="H283" s="18"/>
      <c r="I283" s="18"/>
      <c r="J283" s="18"/>
      <c r="K283" s="18"/>
      <c r="L283" s="19">
        <f t="shared" si="12"/>
        <v>7036.16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f>1000+400</f>
        <v>1400</v>
      </c>
      <c r="L285" s="19">
        <f t="shared" si="12"/>
        <v>1400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f>612+279.27</f>
        <v>891.27</v>
      </c>
      <c r="G287" s="18">
        <f>46.81+21.37</f>
        <v>68.180000000000007</v>
      </c>
      <c r="H287" s="18"/>
      <c r="I287" s="18">
        <v>302.43</v>
      </c>
      <c r="J287" s="18"/>
      <c r="K287" s="18"/>
      <c r="L287" s="19">
        <f t="shared" si="12"/>
        <v>1261.8800000000001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90657.77</v>
      </c>
      <c r="G290" s="42">
        <f t="shared" si="13"/>
        <v>35980.33</v>
      </c>
      <c r="H290" s="42">
        <f t="shared" si="13"/>
        <v>42812.08</v>
      </c>
      <c r="I290" s="42">
        <f t="shared" si="13"/>
        <v>10499.26</v>
      </c>
      <c r="J290" s="42">
        <f t="shared" si="13"/>
        <v>24294.15</v>
      </c>
      <c r="K290" s="42">
        <f t="shared" si="13"/>
        <v>16866.57</v>
      </c>
      <c r="L290" s="41">
        <f t="shared" si="13"/>
        <v>221110.16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90657.77</v>
      </c>
      <c r="G338" s="41">
        <f t="shared" si="20"/>
        <v>35980.33</v>
      </c>
      <c r="H338" s="41">
        <f t="shared" si="20"/>
        <v>42812.08</v>
      </c>
      <c r="I338" s="41">
        <f t="shared" si="20"/>
        <v>10499.26</v>
      </c>
      <c r="J338" s="41">
        <f t="shared" si="20"/>
        <v>24294.15</v>
      </c>
      <c r="K338" s="41">
        <f t="shared" si="20"/>
        <v>16866.57</v>
      </c>
      <c r="L338" s="41">
        <f t="shared" si="20"/>
        <v>221110.16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90657.77</v>
      </c>
      <c r="G352" s="41">
        <f>G338</f>
        <v>35980.33</v>
      </c>
      <c r="H352" s="41">
        <f>H338</f>
        <v>42812.08</v>
      </c>
      <c r="I352" s="41">
        <f>I338</f>
        <v>10499.26</v>
      </c>
      <c r="J352" s="41">
        <f>J338</f>
        <v>24294.15</v>
      </c>
      <c r="K352" s="47">
        <f>K338+K351</f>
        <v>16866.57</v>
      </c>
      <c r="L352" s="41">
        <f>L338+L351</f>
        <v>221110.16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0</v>
      </c>
      <c r="G358" s="18" t="s">
        <v>287</v>
      </c>
      <c r="H358" s="18">
        <f>124.4+242.5+55286.56</f>
        <v>55653.46</v>
      </c>
      <c r="I358" s="18">
        <f>398.31</f>
        <v>398.31</v>
      </c>
      <c r="J358" s="18">
        <f>159.95+9000</f>
        <v>9159.9500000000007</v>
      </c>
      <c r="K358" s="18">
        <v>0</v>
      </c>
      <c r="L358" s="13">
        <f>SUM(F358:K358)</f>
        <v>65211.72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>
        <v>0</v>
      </c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55653.46</v>
      </c>
      <c r="I362" s="47">
        <f t="shared" si="22"/>
        <v>398.31</v>
      </c>
      <c r="J362" s="47">
        <f t="shared" si="22"/>
        <v>9159.9500000000007</v>
      </c>
      <c r="K362" s="47">
        <f t="shared" si="22"/>
        <v>0</v>
      </c>
      <c r="L362" s="47">
        <f t="shared" si="22"/>
        <v>65211.72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398.31</v>
      </c>
      <c r="G368" s="63"/>
      <c r="H368" s="63"/>
      <c r="I368" s="56">
        <f>SUM(F368:H368)</f>
        <v>398.31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398.31</v>
      </c>
      <c r="G369" s="47">
        <f>SUM(G367:G368)</f>
        <v>0</v>
      </c>
      <c r="H369" s="47">
        <f>SUM(H367:H368)</f>
        <v>0</v>
      </c>
      <c r="I369" s="47">
        <f>SUM(I367:I368)</f>
        <v>398.31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0</v>
      </c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>
        <v>20000</v>
      </c>
      <c r="H390" s="18">
        <v>34.549999999999997</v>
      </c>
      <c r="I390" s="18"/>
      <c r="J390" s="24" t="s">
        <v>289</v>
      </c>
      <c r="K390" s="24" t="s">
        <v>289</v>
      </c>
      <c r="L390" s="56">
        <f t="shared" si="25"/>
        <v>20034.55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20000</v>
      </c>
      <c r="H393" s="139">
        <f>SUM(H387:H392)</f>
        <v>34.549999999999997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20034.55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20000</v>
      </c>
      <c r="H396" s="18">
        <v>35.049999999999997</v>
      </c>
      <c r="I396" s="18"/>
      <c r="J396" s="24" t="s">
        <v>289</v>
      </c>
      <c r="K396" s="24" t="s">
        <v>289</v>
      </c>
      <c r="L396" s="56">
        <f t="shared" si="26"/>
        <v>20035.05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5000</v>
      </c>
      <c r="H398" s="18">
        <v>228.15</v>
      </c>
      <c r="I398" s="18"/>
      <c r="J398" s="24" t="s">
        <v>289</v>
      </c>
      <c r="K398" s="24" t="s">
        <v>289</v>
      </c>
      <c r="L398" s="56">
        <f t="shared" si="26"/>
        <v>5228.1499999999996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3.82</v>
      </c>
      <c r="I400" s="18"/>
      <c r="J400" s="24" t="s">
        <v>289</v>
      </c>
      <c r="K400" s="24" t="s">
        <v>289</v>
      </c>
      <c r="L400" s="56">
        <f t="shared" si="26"/>
        <v>3.82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267.02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25267.019999999997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45000</v>
      </c>
      <c r="H408" s="47">
        <f>H393+H401+H407</f>
        <v>301.57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45301.569999999992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>
        <v>0</v>
      </c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0</v>
      </c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42159.73</v>
      </c>
      <c r="G439" s="18">
        <f>52038.04+159771.28</f>
        <v>211809.32</v>
      </c>
      <c r="H439" s="18">
        <v>1025.27</v>
      </c>
      <c r="I439" s="56">
        <f t="shared" ref="I439:I445" si="33">SUM(F439:H439)</f>
        <v>254994.32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42159.73</v>
      </c>
      <c r="G446" s="13">
        <f>SUM(G439:G445)</f>
        <v>211809.32</v>
      </c>
      <c r="H446" s="13">
        <f>SUM(H439:H445)</f>
        <v>1025.27</v>
      </c>
      <c r="I446" s="13">
        <f>SUM(I439:I445)</f>
        <v>254994.32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42159.73</v>
      </c>
      <c r="G459" s="18">
        <v>211809.32</v>
      </c>
      <c r="H459" s="18">
        <v>1025.27</v>
      </c>
      <c r="I459" s="56">
        <f t="shared" si="34"/>
        <v>254994.32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42159.73</v>
      </c>
      <c r="G460" s="83">
        <f>SUM(G454:G459)</f>
        <v>211809.32</v>
      </c>
      <c r="H460" s="83">
        <f>SUM(H454:H459)</f>
        <v>1025.27</v>
      </c>
      <c r="I460" s="83">
        <f>SUM(I454:I459)</f>
        <v>254994.32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42159.73</v>
      </c>
      <c r="G461" s="42">
        <f>G452+G460</f>
        <v>211809.32</v>
      </c>
      <c r="H461" s="42">
        <f>H452+H460</f>
        <v>1025.27</v>
      </c>
      <c r="I461" s="42">
        <f>I452+I460</f>
        <v>254994.32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289727.58</v>
      </c>
      <c r="G465" s="18">
        <v>5875.13</v>
      </c>
      <c r="H465" s="18">
        <v>0</v>
      </c>
      <c r="I465" s="18">
        <v>0</v>
      </c>
      <c r="J465" s="18">
        <v>209689.84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1919663.94+3101.54</f>
        <v>1922765.48</v>
      </c>
      <c r="G468" s="18">
        <v>64966.85</v>
      </c>
      <c r="H468" s="18">
        <v>221110.16</v>
      </c>
      <c r="I468" s="18"/>
      <c r="J468" s="18">
        <f>301.57+45000</f>
        <v>45301.57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 t="s">
        <v>287</v>
      </c>
      <c r="G469" s="18"/>
      <c r="H469" s="18"/>
      <c r="I469" s="18"/>
      <c r="J469" s="18">
        <f>2.67+0.24</f>
        <v>2.91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1922765.48</v>
      </c>
      <c r="G470" s="53">
        <f>SUM(G468:G469)</f>
        <v>64966.85</v>
      </c>
      <c r="H470" s="53">
        <f>SUM(H468:H469)</f>
        <v>221110.16</v>
      </c>
      <c r="I470" s="53">
        <f>SUM(I468:I469)</f>
        <v>0</v>
      </c>
      <c r="J470" s="53">
        <f>SUM(J468:J469)</f>
        <v>45304.480000000003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1974650.38</v>
      </c>
      <c r="G472" s="18">
        <v>65211.72</v>
      </c>
      <c r="H472" s="18">
        <v>221110.16</v>
      </c>
      <c r="I472" s="18"/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 t="s">
        <v>287</v>
      </c>
      <c r="G473" s="18">
        <v>545.19000000000005</v>
      </c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1974650.38</v>
      </c>
      <c r="G474" s="53">
        <f>SUM(G472:G473)</f>
        <v>65756.91</v>
      </c>
      <c r="H474" s="53">
        <f>SUM(H472:H473)</f>
        <v>221110.16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237842.68000000017</v>
      </c>
      <c r="G476" s="53">
        <f>(G465+G470)- G474</f>
        <v>5085.0699999999924</v>
      </c>
      <c r="H476" s="53">
        <f>(H465+H470)- H474</f>
        <v>0</v>
      </c>
      <c r="I476" s="53">
        <f>(I465+I470)- I474</f>
        <v>0</v>
      </c>
      <c r="J476" s="53">
        <f>(J465+J470)- J474</f>
        <v>254994.32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20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 t="s">
        <v>913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 t="s">
        <v>912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249438</v>
      </c>
      <c r="G493" s="18">
        <v>748312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5.01</v>
      </c>
      <c r="G494" s="18">
        <v>4.9800000000000004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40000</v>
      </c>
      <c r="G495" s="18">
        <v>140000</v>
      </c>
      <c r="H495" s="18"/>
      <c r="I495" s="18"/>
      <c r="J495" s="18"/>
      <c r="K495" s="53">
        <f>SUM(F495:J495)</f>
        <v>180000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10000</v>
      </c>
      <c r="G497" s="18">
        <v>35000</v>
      </c>
      <c r="H497" s="18"/>
      <c r="I497" s="18"/>
      <c r="J497" s="18"/>
      <c r="K497" s="53">
        <f t="shared" si="35"/>
        <v>45000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30000</v>
      </c>
      <c r="G498" s="204">
        <v>105000</v>
      </c>
      <c r="H498" s="204"/>
      <c r="I498" s="204"/>
      <c r="J498" s="204"/>
      <c r="K498" s="205">
        <f t="shared" si="35"/>
        <v>135000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2382.5</v>
      </c>
      <c r="G499" s="18">
        <v>8190</v>
      </c>
      <c r="H499" s="18"/>
      <c r="I499" s="18"/>
      <c r="J499" s="18"/>
      <c r="K499" s="53">
        <f t="shared" si="35"/>
        <v>10572.5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32382.5</v>
      </c>
      <c r="G500" s="42">
        <f>SUM(G498:G499)</f>
        <v>113190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145572.5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10000</v>
      </c>
      <c r="G501" s="204">
        <v>35000</v>
      </c>
      <c r="H501" s="204"/>
      <c r="I501" s="204"/>
      <c r="J501" s="204"/>
      <c r="K501" s="205">
        <f t="shared" si="35"/>
        <v>45000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792.5+530</f>
        <v>1322.5</v>
      </c>
      <c r="G502" s="18">
        <f>2730+1820</f>
        <v>4550</v>
      </c>
      <c r="H502" s="18"/>
      <c r="I502" s="18"/>
      <c r="J502" s="18"/>
      <c r="K502" s="53">
        <f t="shared" si="35"/>
        <v>5872.5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11322.5</v>
      </c>
      <c r="G503" s="42">
        <f>SUM(G501:G502)</f>
        <v>39550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50872.5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46750+54344.3+923.37</f>
        <v>102017.67</v>
      </c>
      <c r="G521" s="18">
        <f>7234.34+7733.86+35+6619.84</f>
        <v>21623.040000000001</v>
      </c>
      <c r="H521" s="18">
        <f>5280+2240</f>
        <v>7520</v>
      </c>
      <c r="I521" s="18">
        <f>329.71+295.18</f>
        <v>624.89</v>
      </c>
      <c r="J521" s="18">
        <v>105.95</v>
      </c>
      <c r="K521" s="18"/>
      <c r="L521" s="88">
        <f>SUM(F521:K521)</f>
        <v>131891.55000000002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f>14200.2+10631.26</f>
        <v>24831.46</v>
      </c>
      <c r="I523" s="18"/>
      <c r="J523" s="18"/>
      <c r="K523" s="18"/>
      <c r="L523" s="88">
        <f>SUM(F523:K523)</f>
        <v>24831.46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102017.67</v>
      </c>
      <c r="G524" s="108">
        <f t="shared" ref="G524:L524" si="36">SUM(G521:G523)</f>
        <v>21623.040000000001</v>
      </c>
      <c r="H524" s="108">
        <f t="shared" si="36"/>
        <v>32351.46</v>
      </c>
      <c r="I524" s="108">
        <f t="shared" si="36"/>
        <v>624.89</v>
      </c>
      <c r="J524" s="108">
        <f t="shared" si="36"/>
        <v>105.95</v>
      </c>
      <c r="K524" s="108">
        <f t="shared" si="36"/>
        <v>0</v>
      </c>
      <c r="L524" s="89">
        <f t="shared" si="36"/>
        <v>156723.01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9520.7999999999993</v>
      </c>
      <c r="G526" s="18">
        <v>728.32</v>
      </c>
      <c r="H526" s="18">
        <f>13049.22+43112.29</f>
        <v>56161.51</v>
      </c>
      <c r="I526" s="18">
        <f>963.32+503.61+147.85</f>
        <v>1614.78</v>
      </c>
      <c r="J526" s="18">
        <v>873.6</v>
      </c>
      <c r="K526" s="18"/>
      <c r="L526" s="88">
        <f>SUM(F526:K526)</f>
        <v>68899.010000000009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9520.7999999999993</v>
      </c>
      <c r="G529" s="89">
        <f t="shared" ref="G529:L529" si="37">SUM(G526:G528)</f>
        <v>728.32</v>
      </c>
      <c r="H529" s="89">
        <f t="shared" si="37"/>
        <v>56161.51</v>
      </c>
      <c r="I529" s="89">
        <f t="shared" si="37"/>
        <v>1614.78</v>
      </c>
      <c r="J529" s="89">
        <f t="shared" si="37"/>
        <v>873.6</v>
      </c>
      <c r="K529" s="89">
        <f t="shared" si="37"/>
        <v>0</v>
      </c>
      <c r="L529" s="89">
        <f t="shared" si="37"/>
        <v>68899.010000000009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f>18424*0.7</f>
        <v>12896.8</v>
      </c>
      <c r="I531" s="18"/>
      <c r="J531" s="18"/>
      <c r="K531" s="18"/>
      <c r="L531" s="88">
        <f>SUM(F531:K531)</f>
        <v>12896.8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f>18423.95-12896.8</f>
        <v>5527.1500000000015</v>
      </c>
      <c r="I533" s="18"/>
      <c r="J533" s="18"/>
      <c r="K533" s="18"/>
      <c r="L533" s="88">
        <f>SUM(F533:K533)</f>
        <v>5527.1500000000015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18423.95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18423.95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f>101.46</f>
        <v>101.46</v>
      </c>
      <c r="G541" s="18">
        <f>7.76</f>
        <v>7.76</v>
      </c>
      <c r="H541" s="18"/>
      <c r="I541" s="18"/>
      <c r="J541" s="18"/>
      <c r="K541" s="18"/>
      <c r="L541" s="88">
        <f>SUM(F541:K541)</f>
        <v>109.22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100.13</v>
      </c>
      <c r="G543" s="18">
        <v>7.66</v>
      </c>
      <c r="H543" s="18"/>
      <c r="I543" s="18"/>
      <c r="J543" s="18"/>
      <c r="K543" s="18"/>
      <c r="L543" s="88">
        <f>SUM(F543:K543)</f>
        <v>107.78999999999999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201.58999999999997</v>
      </c>
      <c r="G544" s="193">
        <f t="shared" ref="G544:L544" si="40">SUM(G541:G543)</f>
        <v>15.42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217.01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111740.06</v>
      </c>
      <c r="G545" s="89">
        <f t="shared" ref="G545:L545" si="41">G524+G529+G534+G539+G544</f>
        <v>22366.78</v>
      </c>
      <c r="H545" s="89">
        <f t="shared" si="41"/>
        <v>106936.92</v>
      </c>
      <c r="I545" s="89">
        <f t="shared" si="41"/>
        <v>2239.67</v>
      </c>
      <c r="J545" s="89">
        <f t="shared" si="41"/>
        <v>979.55000000000007</v>
      </c>
      <c r="K545" s="89">
        <f t="shared" si="41"/>
        <v>0</v>
      </c>
      <c r="L545" s="89">
        <f t="shared" si="41"/>
        <v>244262.98000000004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131891.55000000002</v>
      </c>
      <c r="G549" s="87">
        <f>L526</f>
        <v>68899.010000000009</v>
      </c>
      <c r="H549" s="87">
        <f>L531</f>
        <v>12896.8</v>
      </c>
      <c r="I549" s="87">
        <f>L536</f>
        <v>0</v>
      </c>
      <c r="J549" s="87">
        <f>L541</f>
        <v>109.22</v>
      </c>
      <c r="K549" s="87">
        <f>SUM(F549:J549)</f>
        <v>213796.58000000002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24831.46</v>
      </c>
      <c r="G551" s="87">
        <f>L528</f>
        <v>0</v>
      </c>
      <c r="H551" s="87">
        <f>L533</f>
        <v>5527.1500000000015</v>
      </c>
      <c r="I551" s="87">
        <f>L538</f>
        <v>0</v>
      </c>
      <c r="J551" s="87">
        <f>L543</f>
        <v>107.78999999999999</v>
      </c>
      <c r="K551" s="87">
        <f>SUM(F551:J551)</f>
        <v>30466.400000000001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156723.01</v>
      </c>
      <c r="G552" s="89">
        <f t="shared" si="42"/>
        <v>68899.010000000009</v>
      </c>
      <c r="H552" s="89">
        <f t="shared" si="42"/>
        <v>18423.95</v>
      </c>
      <c r="I552" s="89">
        <f t="shared" si="42"/>
        <v>0</v>
      </c>
      <c r="J552" s="89">
        <f t="shared" si="42"/>
        <v>217.01</v>
      </c>
      <c r="K552" s="89">
        <f t="shared" si="42"/>
        <v>244262.98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86740.45</v>
      </c>
      <c r="I575" s="87">
        <f>SUM(F575:H575)</f>
        <v>86740.45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v>463911.12</v>
      </c>
      <c r="I576" s="87">
        <f t="shared" ref="I576:I587" si="47">SUM(F576:H576)</f>
        <v>463911.12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14200.2</v>
      </c>
      <c r="I579" s="87">
        <f t="shared" si="47"/>
        <v>14200.2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10631.26</v>
      </c>
      <c r="I580" s="87">
        <f t="shared" si="47"/>
        <v>10631.26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2240</v>
      </c>
      <c r="G582" s="18"/>
      <c r="H582" s="18"/>
      <c r="I582" s="87">
        <f t="shared" si="47"/>
        <v>2240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48650.22</v>
      </c>
      <c r="I591" s="18"/>
      <c r="J591" s="18">
        <v>22129.85</v>
      </c>
      <c r="K591" s="104">
        <f t="shared" ref="K591:K597" si="48">SUM(H591:J591)</f>
        <v>70780.070000000007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109.22</v>
      </c>
      <c r="I592" s="18"/>
      <c r="J592" s="18">
        <v>107.79</v>
      </c>
      <c r="K592" s="104">
        <f t="shared" si="48"/>
        <v>217.01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416.11</v>
      </c>
      <c r="I595" s="18"/>
      <c r="J595" s="18"/>
      <c r="K595" s="104">
        <f t="shared" si="48"/>
        <v>416.11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0</v>
      </c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49175.55</v>
      </c>
      <c r="I598" s="108">
        <f>SUM(I591:I597)</f>
        <v>0</v>
      </c>
      <c r="J598" s="108">
        <f>SUM(J591:J597)</f>
        <v>22237.64</v>
      </c>
      <c r="K598" s="108">
        <f>SUM(K591:K597)</f>
        <v>71413.19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54754.62-9159.95</f>
        <v>45594.67</v>
      </c>
      <c r="I604" s="18"/>
      <c r="J604" s="18"/>
      <c r="K604" s="104">
        <f>SUM(H604:J604)</f>
        <v>45594.67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45594.67</v>
      </c>
      <c r="I605" s="108">
        <f>SUM(I602:I604)</f>
        <v>0</v>
      </c>
      <c r="J605" s="108">
        <f>SUM(J602:J604)</f>
        <v>0</v>
      </c>
      <c r="K605" s="108">
        <f>SUM(K602:K604)</f>
        <v>45594.67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8509.7+2696.81</f>
        <v>11206.51</v>
      </c>
      <c r="G611" s="18">
        <f>857.33+1466.6</f>
        <v>2323.9299999999998</v>
      </c>
      <c r="H611" s="18"/>
      <c r="I611" s="18"/>
      <c r="J611" s="18"/>
      <c r="K611" s="18"/>
      <c r="L611" s="88">
        <f>SUM(F611:K611)</f>
        <v>13530.44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11206.51</v>
      </c>
      <c r="G614" s="108">
        <f t="shared" si="49"/>
        <v>2323.9299999999998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13530.44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312982.49</v>
      </c>
      <c r="H617" s="109">
        <f>SUM(F52)</f>
        <v>312982.49000000011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6872.38</v>
      </c>
      <c r="H618" s="109">
        <f>SUM(G52)</f>
        <v>6872.3799999999956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96732.95</v>
      </c>
      <c r="H619" s="109">
        <f>SUM(H52)</f>
        <v>96732.95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254994.32</v>
      </c>
      <c r="H621" s="109">
        <f>SUM(J52)</f>
        <v>254994.32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237842.68000000011</v>
      </c>
      <c r="H622" s="109">
        <f>F476</f>
        <v>237842.68000000017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5085.0699999999952</v>
      </c>
      <c r="H623" s="109">
        <f>G476</f>
        <v>5085.0699999999924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254994.32</v>
      </c>
      <c r="H626" s="109">
        <f>J476</f>
        <v>254994.32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1922765.48</v>
      </c>
      <c r="H627" s="104">
        <f>SUM(F468)</f>
        <v>1922765.48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64966.850000000006</v>
      </c>
      <c r="H628" s="104">
        <f>SUM(G468)</f>
        <v>64966.85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221110.15999999997</v>
      </c>
      <c r="H629" s="104">
        <f>SUM(H468)</f>
        <v>221110.16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45301.57</v>
      </c>
      <c r="H631" s="104">
        <f>SUM(J468)</f>
        <v>45301.57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1974650.38</v>
      </c>
      <c r="H632" s="104">
        <f>SUM(F472)</f>
        <v>1974650.38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221110.16</v>
      </c>
      <c r="H633" s="104">
        <f>SUM(H472)</f>
        <v>221110.16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398.31</v>
      </c>
      <c r="H634" s="104">
        <f>I369</f>
        <v>398.31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65211.72</v>
      </c>
      <c r="H635" s="104">
        <f>SUM(G472)</f>
        <v>65211.72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45301.569999999992</v>
      </c>
      <c r="H637" s="164">
        <f>SUM(J468)</f>
        <v>45301.57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42159.73</v>
      </c>
      <c r="H639" s="104">
        <f>SUM(F461)</f>
        <v>42159.73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211809.32</v>
      </c>
      <c r="H640" s="104">
        <f>SUM(G461)</f>
        <v>211809.32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1025.27</v>
      </c>
      <c r="H641" s="104">
        <f>SUM(H461)</f>
        <v>1025.27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254994.32</v>
      </c>
      <c r="H642" s="104">
        <f>SUM(I461)</f>
        <v>254994.32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301.57</v>
      </c>
      <c r="H644" s="104">
        <f>H408</f>
        <v>301.57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45000</v>
      </c>
      <c r="H645" s="104">
        <f>G408</f>
        <v>45000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45301.57</v>
      </c>
      <c r="H646" s="104">
        <f>L408</f>
        <v>45301.569999999992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71413.19</v>
      </c>
      <c r="H647" s="104">
        <f>L208+L226+L244</f>
        <v>71413.19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45594.67</v>
      </c>
      <c r="H648" s="104">
        <f>(J257+J338)-(J255+J336)</f>
        <v>45594.67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49175.55</v>
      </c>
      <c r="H649" s="104">
        <f>H598</f>
        <v>49175.55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22237.640000000003</v>
      </c>
      <c r="H651" s="104">
        <f>J598</f>
        <v>22237.64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9400</v>
      </c>
      <c r="H652" s="104">
        <f>K263+K345</f>
        <v>9400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45000</v>
      </c>
      <c r="H655" s="104">
        <f>K266+K347</f>
        <v>45000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1512192.78</v>
      </c>
      <c r="G660" s="19">
        <f>(L229+L309+L359)</f>
        <v>0</v>
      </c>
      <c r="H660" s="19">
        <f>(L247+L328+L360)</f>
        <v>631782.35999999987</v>
      </c>
      <c r="I660" s="19">
        <f>SUM(F660:H660)</f>
        <v>2143975.1399999997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13935.62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13935.62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50437.43</v>
      </c>
      <c r="G662" s="19">
        <f>(L226+L306)-(J226+J306)</f>
        <v>0</v>
      </c>
      <c r="H662" s="19">
        <f>(L244+L325)-(J244+J325)</f>
        <v>22237.640000000003</v>
      </c>
      <c r="I662" s="19">
        <f>SUM(F662:H662)</f>
        <v>72675.070000000007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61365.11</v>
      </c>
      <c r="G663" s="199">
        <f>SUM(G575:G587)+SUM(I602:I604)+L612</f>
        <v>0</v>
      </c>
      <c r="H663" s="199">
        <f>SUM(H575:H587)+SUM(J602:J604)+L613</f>
        <v>575483.02999999991</v>
      </c>
      <c r="I663" s="19">
        <f>SUM(F663:H663)</f>
        <v>636848.1399999999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1386454.62</v>
      </c>
      <c r="G664" s="19">
        <f>G660-SUM(G661:G663)</f>
        <v>0</v>
      </c>
      <c r="H664" s="19">
        <f>H660-SUM(H661:H663)</f>
        <v>34061.689999999944</v>
      </c>
      <c r="I664" s="19">
        <f>I660-SUM(I661:I663)</f>
        <v>1420516.3099999998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f>5.87+71.69</f>
        <v>77.56</v>
      </c>
      <c r="G665" s="248"/>
      <c r="H665" s="248"/>
      <c r="I665" s="19">
        <f>SUM(F665:H665)</f>
        <v>77.56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17875.900000000001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18315.060000000001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-34061.69</v>
      </c>
      <c r="I669" s="19">
        <f>SUM(F669:H669)</f>
        <v>-34061.69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17875.900000000001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17875.900000000001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" right="0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STEWARTSTOWN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304907.57</v>
      </c>
      <c r="C9" s="229">
        <f>'DOE25'!G197+'DOE25'!G215+'DOE25'!G233+'DOE25'!G276+'DOE25'!G295+'DOE25'!G314</f>
        <v>185386.94999999998</v>
      </c>
    </row>
    <row r="10" spans="1:3" x14ac:dyDescent="0.2">
      <c r="A10" t="s">
        <v>779</v>
      </c>
      <c r="B10" s="240">
        <f>208563.8</f>
        <v>208563.8</v>
      </c>
      <c r="C10" s="240">
        <f>185386.95-7659.33</f>
        <v>177727.62000000002</v>
      </c>
    </row>
    <row r="11" spans="1:3" x14ac:dyDescent="0.2">
      <c r="A11" t="s">
        <v>780</v>
      </c>
      <c r="B11" s="240">
        <f>54687.14+14208.78+22882.85+4565</f>
        <v>96343.76999999999</v>
      </c>
      <c r="C11" s="240">
        <v>7659.33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304907.56999999995</v>
      </c>
      <c r="C13" s="231">
        <f>SUM(C10:C12)</f>
        <v>185386.95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102081.4</v>
      </c>
      <c r="C18" s="229">
        <f>'DOE25'!G198+'DOE25'!G216+'DOE25'!G234+'DOE25'!G277+'DOE25'!G296+'DOE25'!G315</f>
        <v>21712.91</v>
      </c>
    </row>
    <row r="19" spans="1:3" x14ac:dyDescent="0.2">
      <c r="A19" t="s">
        <v>779</v>
      </c>
      <c r="B19" s="240">
        <f>46750</f>
        <v>46750</v>
      </c>
      <c r="C19" s="240">
        <f>21712.91-4398.85</f>
        <v>17314.059999999998</v>
      </c>
    </row>
    <row r="20" spans="1:3" x14ac:dyDescent="0.2">
      <c r="A20" t="s">
        <v>780</v>
      </c>
      <c r="B20" s="240">
        <f>54344.3+63.73+923.37</f>
        <v>55331.400000000009</v>
      </c>
      <c r="C20" s="240">
        <v>4398.8500000000004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102081.40000000001</v>
      </c>
      <c r="C22" s="231">
        <f>SUM(C19:C21)</f>
        <v>21712.909999999996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11206.51</v>
      </c>
      <c r="C36" s="235">
        <f>'DOE25'!G200+'DOE25'!G218+'DOE25'!G236+'DOE25'!G279+'DOE25'!G298+'DOE25'!G317</f>
        <v>2323.9299999999998</v>
      </c>
    </row>
    <row r="37" spans="1:3" x14ac:dyDescent="0.2">
      <c r="A37" t="s">
        <v>779</v>
      </c>
      <c r="B37" s="240">
        <v>8509.7000000000007</v>
      </c>
      <c r="C37" s="240">
        <f>2323.93-214.4</f>
        <v>2109.5299999999997</v>
      </c>
    </row>
    <row r="38" spans="1:3" x14ac:dyDescent="0.2">
      <c r="A38" t="s">
        <v>780</v>
      </c>
      <c r="B38" s="240">
        <v>2696.81</v>
      </c>
      <c r="C38" s="240">
        <v>214.4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11206.51</v>
      </c>
      <c r="C40" s="231">
        <f>SUM(C37:C39)</f>
        <v>2323.9299999999998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8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STEWARTSTOWN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1163328.5</v>
      </c>
      <c r="D5" s="20">
        <f>SUM('DOE25'!L197:L200)+SUM('DOE25'!L215:L218)+SUM('DOE25'!L233:L236)-F5-G5</f>
        <v>1161447.42</v>
      </c>
      <c r="E5" s="243"/>
      <c r="F5" s="255">
        <f>SUM('DOE25'!J197:J200)+SUM('DOE25'!J215:J218)+SUM('DOE25'!J233:J236)</f>
        <v>1692.8300000000002</v>
      </c>
      <c r="G5" s="53">
        <f>SUM('DOE25'!K197:K200)+SUM('DOE25'!K215:K218)+SUM('DOE25'!K233:K236)</f>
        <v>188.25</v>
      </c>
      <c r="H5" s="259"/>
    </row>
    <row r="6" spans="1:9" x14ac:dyDescent="0.2">
      <c r="A6" s="32">
        <v>2100</v>
      </c>
      <c r="B6" t="s">
        <v>801</v>
      </c>
      <c r="C6" s="245">
        <f t="shared" si="0"/>
        <v>179329.18000000002</v>
      </c>
      <c r="D6" s="20">
        <f>'DOE25'!L202+'DOE25'!L220+'DOE25'!L238-F6-G6</f>
        <v>165376.27000000002</v>
      </c>
      <c r="E6" s="243"/>
      <c r="F6" s="255">
        <f>'DOE25'!J202+'DOE25'!J220+'DOE25'!J238</f>
        <v>13092.96</v>
      </c>
      <c r="G6" s="53">
        <f>'DOE25'!K202+'DOE25'!K220+'DOE25'!K238</f>
        <v>859.95</v>
      </c>
      <c r="H6" s="259"/>
    </row>
    <row r="7" spans="1:9" x14ac:dyDescent="0.2">
      <c r="A7" s="32">
        <v>2200</v>
      </c>
      <c r="B7" t="s">
        <v>834</v>
      </c>
      <c r="C7" s="245">
        <f t="shared" si="0"/>
        <v>30438.969999999998</v>
      </c>
      <c r="D7" s="20">
        <f>'DOE25'!L203+'DOE25'!L221+'DOE25'!L239-F7-G7</f>
        <v>28792.969999999998</v>
      </c>
      <c r="E7" s="243"/>
      <c r="F7" s="255">
        <f>'DOE25'!J203+'DOE25'!J221+'DOE25'!J239</f>
        <v>0</v>
      </c>
      <c r="G7" s="53">
        <f>'DOE25'!K203+'DOE25'!K221+'DOE25'!K239</f>
        <v>1646</v>
      </c>
      <c r="H7" s="259"/>
    </row>
    <row r="8" spans="1:9" x14ac:dyDescent="0.2">
      <c r="A8" s="32">
        <v>2300</v>
      </c>
      <c r="B8" t="s">
        <v>802</v>
      </c>
      <c r="C8" s="245">
        <f t="shared" si="0"/>
        <v>57708.670000000006</v>
      </c>
      <c r="D8" s="243"/>
      <c r="E8" s="20">
        <f>'DOE25'!L204+'DOE25'!L222+'DOE25'!L240-F8-G8-D9-D11</f>
        <v>54919.990000000005</v>
      </c>
      <c r="F8" s="255">
        <f>'DOE25'!J204+'DOE25'!J222+'DOE25'!J240</f>
        <v>0</v>
      </c>
      <c r="G8" s="53">
        <f>'DOE25'!K204+'DOE25'!K222+'DOE25'!K240</f>
        <v>2788.68</v>
      </c>
      <c r="H8" s="259"/>
    </row>
    <row r="9" spans="1:9" x14ac:dyDescent="0.2">
      <c r="A9" s="32">
        <v>2310</v>
      </c>
      <c r="B9" t="s">
        <v>818</v>
      </c>
      <c r="C9" s="245">
        <f t="shared" si="0"/>
        <v>21476.99</v>
      </c>
      <c r="D9" s="244">
        <v>21476.99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5400</v>
      </c>
      <c r="D10" s="243"/>
      <c r="E10" s="244">
        <v>5400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32944.53</v>
      </c>
      <c r="D11" s="244">
        <v>32944.53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120525.35999999999</v>
      </c>
      <c r="D12" s="20">
        <f>'DOE25'!L205+'DOE25'!L223+'DOE25'!L241-F12-G12</f>
        <v>120077.35999999999</v>
      </c>
      <c r="E12" s="243"/>
      <c r="F12" s="255">
        <f>'DOE25'!J205+'DOE25'!J223+'DOE25'!J241</f>
        <v>0</v>
      </c>
      <c r="G12" s="53">
        <f>'DOE25'!K205+'DOE25'!K223+'DOE25'!K241</f>
        <v>448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180487.87</v>
      </c>
      <c r="D14" s="20">
        <f>'DOE25'!L207+'DOE25'!L225+'DOE25'!L243-F14-G14</f>
        <v>172266.38999999998</v>
      </c>
      <c r="E14" s="243"/>
      <c r="F14" s="255">
        <f>'DOE25'!J207+'DOE25'!J225+'DOE25'!J243</f>
        <v>6514.73</v>
      </c>
      <c r="G14" s="53">
        <f>'DOE25'!K207+'DOE25'!K225+'DOE25'!K243</f>
        <v>1706.75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71413.19</v>
      </c>
      <c r="D15" s="20">
        <f>'DOE25'!L208+'DOE25'!L226+'DOE25'!L244-F15-G15</f>
        <v>70862.83</v>
      </c>
      <c r="E15" s="243"/>
      <c r="F15" s="255">
        <f>'DOE25'!J208+'DOE25'!J226+'DOE25'!J244</f>
        <v>0</v>
      </c>
      <c r="G15" s="53">
        <f>'DOE25'!K208+'DOE25'!K226+'DOE25'!K244</f>
        <v>550.36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53215</v>
      </c>
      <c r="D25" s="243"/>
      <c r="E25" s="243"/>
      <c r="F25" s="258"/>
      <c r="G25" s="256"/>
      <c r="H25" s="257">
        <f>'DOE25'!L260+'DOE25'!L261+'DOE25'!L341+'DOE25'!L342</f>
        <v>53215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65211.72</v>
      </c>
      <c r="D29" s="20">
        <f>'DOE25'!L358+'DOE25'!L359+'DOE25'!L360-'DOE25'!I367-F29-G29</f>
        <v>56051.770000000004</v>
      </c>
      <c r="E29" s="243"/>
      <c r="F29" s="255">
        <f>'DOE25'!J358+'DOE25'!J359+'DOE25'!J360</f>
        <v>9159.9500000000007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221110.16</v>
      </c>
      <c r="D31" s="20">
        <f>'DOE25'!L290+'DOE25'!L309+'DOE25'!L328+'DOE25'!L333+'DOE25'!L334+'DOE25'!L335-F31-G31</f>
        <v>179949.44</v>
      </c>
      <c r="E31" s="243"/>
      <c r="F31" s="255">
        <f>'DOE25'!J290+'DOE25'!J309+'DOE25'!J328+'DOE25'!J333+'DOE25'!J334+'DOE25'!J335</f>
        <v>24294.15</v>
      </c>
      <c r="G31" s="53">
        <f>'DOE25'!K290+'DOE25'!K309+'DOE25'!K328+'DOE25'!K333+'DOE25'!K334+'DOE25'!K335</f>
        <v>16866.57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2009245.97</v>
      </c>
      <c r="E33" s="246">
        <f>SUM(E5:E31)</f>
        <v>60319.990000000005</v>
      </c>
      <c r="F33" s="246">
        <f>SUM(F5:F31)</f>
        <v>54754.619999999995</v>
      </c>
      <c r="G33" s="246">
        <f>SUM(G5:G31)</f>
        <v>25054.559999999998</v>
      </c>
      <c r="H33" s="246">
        <f>SUM(H5:H31)</f>
        <v>53215</v>
      </c>
    </row>
    <row r="35" spans="2:8" ht="12" thickBot="1" x14ac:dyDescent="0.25">
      <c r="B35" s="253" t="s">
        <v>847</v>
      </c>
      <c r="D35" s="254">
        <f>E33</f>
        <v>60319.990000000005</v>
      </c>
      <c r="E35" s="249"/>
    </row>
    <row r="36" spans="2:8" ht="12" thickTop="1" x14ac:dyDescent="0.2">
      <c r="B36" t="s">
        <v>815</v>
      </c>
      <c r="D36" s="20">
        <f>D33</f>
        <v>2009245.97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STEWARTSTOWN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222429.57</v>
      </c>
      <c r="D8" s="95">
        <f>'DOE25'!G9</f>
        <v>4611.3599999999997</v>
      </c>
      <c r="E8" s="95">
        <f>'DOE25'!H9</f>
        <v>0</v>
      </c>
      <c r="F8" s="95">
        <f>'DOE25'!I9</f>
        <v>0</v>
      </c>
      <c r="G8" s="95">
        <f>'DOE25'!J9</f>
        <v>254994.32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84151.039999999994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6401.88</v>
      </c>
      <c r="D12" s="95">
        <f>'DOE25'!G13</f>
        <v>1595.97</v>
      </c>
      <c r="E12" s="95">
        <f>'DOE25'!H13</f>
        <v>96732.95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118.1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546.95000000000005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312982.49</v>
      </c>
      <c r="D18" s="41">
        <f>SUM(D8:D17)</f>
        <v>6872.38</v>
      </c>
      <c r="E18" s="41">
        <f>SUM(E8:E17)</f>
        <v>96732.95</v>
      </c>
      <c r="F18" s="41">
        <f>SUM(F8:F17)</f>
        <v>0</v>
      </c>
      <c r="G18" s="41">
        <f>SUM(G8:G17)</f>
        <v>254994.32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84151.039999999994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55702.45</v>
      </c>
      <c r="D23" s="95">
        <f>'DOE25'!G24</f>
        <v>1787.31</v>
      </c>
      <c r="E23" s="95">
        <f>'DOE25'!H24</f>
        <v>11719.55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12752.94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3582.88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3101.54</v>
      </c>
      <c r="D29" s="95">
        <f>'DOE25'!G30</f>
        <v>0</v>
      </c>
      <c r="E29" s="95">
        <f>'DOE25'!H30</f>
        <v>862.36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75139.81</v>
      </c>
      <c r="D31" s="41">
        <f>SUM(D21:D30)</f>
        <v>1787.31</v>
      </c>
      <c r="E31" s="41">
        <f>SUM(E21:E30)</f>
        <v>96732.95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546.95000000000005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32380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4538.1199999999953</v>
      </c>
      <c r="E47" s="95">
        <f>'DOE25'!H48</f>
        <v>0</v>
      </c>
      <c r="F47" s="95">
        <f>'DOE25'!I48</f>
        <v>0</v>
      </c>
      <c r="G47" s="95">
        <f>'DOE25'!J48</f>
        <v>254994.32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9149.27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196313.41000000012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237842.68000000011</v>
      </c>
      <c r="D50" s="41">
        <f>SUM(D34:D49)</f>
        <v>5085.0699999999952</v>
      </c>
      <c r="E50" s="41">
        <f>SUM(E34:E49)</f>
        <v>0</v>
      </c>
      <c r="F50" s="41">
        <f>SUM(F34:F49)</f>
        <v>0</v>
      </c>
      <c r="G50" s="41">
        <f>SUM(G34:G49)</f>
        <v>254994.32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312982.49000000011</v>
      </c>
      <c r="D51" s="41">
        <f>D50+D31</f>
        <v>6872.3799999999956</v>
      </c>
      <c r="E51" s="41">
        <f>E50+E31</f>
        <v>96732.95</v>
      </c>
      <c r="F51" s="41">
        <f>F50+F31</f>
        <v>0</v>
      </c>
      <c r="G51" s="41">
        <f>G50+G31</f>
        <v>254994.32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1107214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209.22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301.57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13935.62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22017.870000000003</v>
      </c>
      <c r="D61" s="95">
        <f>SUM('DOE25'!G98:G110)</f>
        <v>0</v>
      </c>
      <c r="E61" s="95">
        <f>SUM('DOE25'!H98:H110)</f>
        <v>3969.05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22227.090000000004</v>
      </c>
      <c r="D62" s="130">
        <f>SUM(D57:D61)</f>
        <v>13935.62</v>
      </c>
      <c r="E62" s="130">
        <f>SUM(E57:E61)</f>
        <v>3969.05</v>
      </c>
      <c r="F62" s="130">
        <f>SUM(F57:F61)</f>
        <v>0</v>
      </c>
      <c r="G62" s="130">
        <f>SUM(G57:G61)</f>
        <v>301.57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1129441.0900000001</v>
      </c>
      <c r="D63" s="22">
        <f>D56+D62</f>
        <v>13935.62</v>
      </c>
      <c r="E63" s="22">
        <f>E56+E62</f>
        <v>3969.05</v>
      </c>
      <c r="F63" s="22">
        <f>F56+F62</f>
        <v>0</v>
      </c>
      <c r="G63" s="22">
        <f>G56+G62</f>
        <v>301.57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536871.36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187966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724837.36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14086.24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50075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9849.44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64161.24</v>
      </c>
      <c r="D78" s="130">
        <f>SUM(D72:D77)</f>
        <v>9849.44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788998.6</v>
      </c>
      <c r="D81" s="130">
        <f>SUM(D79:D80)+D78+D70</f>
        <v>9849.44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4325.79</v>
      </c>
      <c r="D88" s="95">
        <f>SUM('DOE25'!G153:G161)</f>
        <v>31781.79</v>
      </c>
      <c r="E88" s="95">
        <f>SUM('DOE25'!H153:H161)</f>
        <v>217141.11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4325.79</v>
      </c>
      <c r="D91" s="131">
        <f>SUM(D85:D90)</f>
        <v>31781.79</v>
      </c>
      <c r="E91" s="131">
        <f>SUM(E85:E90)</f>
        <v>217141.11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9400</v>
      </c>
      <c r="E96" s="95">
        <f>'DOE25'!H179</f>
        <v>0</v>
      </c>
      <c r="F96" s="95">
        <f>'DOE25'!I179</f>
        <v>0</v>
      </c>
      <c r="G96" s="95">
        <f>'DOE25'!J179</f>
        <v>45000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 t="str">
        <f>'DOE25'!H189</f>
        <v xml:space="preserve"> 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9400</v>
      </c>
      <c r="E103" s="86">
        <f>SUM(E93:E102)</f>
        <v>0</v>
      </c>
      <c r="F103" s="86">
        <f>SUM(F93:F102)</f>
        <v>0</v>
      </c>
      <c r="G103" s="86">
        <f>SUM(G93:G102)</f>
        <v>45000</v>
      </c>
    </row>
    <row r="104" spans="1:7" ht="12.75" thickTop="1" thickBot="1" x14ac:dyDescent="0.25">
      <c r="A104" s="33" t="s">
        <v>765</v>
      </c>
      <c r="C104" s="86">
        <f>C63+C81+C91+C103</f>
        <v>1922765.48</v>
      </c>
      <c r="D104" s="86">
        <f>D63+D81+D91+D103</f>
        <v>64966.850000000006</v>
      </c>
      <c r="E104" s="86">
        <f>E63+E81+E91+E103</f>
        <v>221110.15999999997</v>
      </c>
      <c r="F104" s="86">
        <f>F63+F81+F91+F103</f>
        <v>0</v>
      </c>
      <c r="G104" s="86">
        <f>G63+G81+G103</f>
        <v>45301.57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1006144.84</v>
      </c>
      <c r="D109" s="24" t="s">
        <v>289</v>
      </c>
      <c r="E109" s="95">
        <f>('DOE25'!L276)+('DOE25'!L295)+('DOE25'!L314)</f>
        <v>120756.34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157183.66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13530.44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1163328.5</v>
      </c>
      <c r="D115" s="86">
        <f>SUM(D109:D114)</f>
        <v>0</v>
      </c>
      <c r="E115" s="86">
        <f>SUM(E109:E114)</f>
        <v>134286.78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179329.18000000002</v>
      </c>
      <c r="D118" s="24" t="s">
        <v>289</v>
      </c>
      <c r="E118" s="95">
        <f>+('DOE25'!L281)+('DOE25'!L300)+('DOE25'!L319)</f>
        <v>5689.9699999999993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30438.969999999998</v>
      </c>
      <c r="D119" s="24" t="s">
        <v>289</v>
      </c>
      <c r="E119" s="95">
        <f>+('DOE25'!L282)+('DOE25'!L301)+('DOE25'!L320)</f>
        <v>71435.37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112130.19</v>
      </c>
      <c r="D120" s="24" t="s">
        <v>289</v>
      </c>
      <c r="E120" s="95">
        <f>+('DOE25'!L283)+('DOE25'!L302)+('DOE25'!L321)</f>
        <v>7036.16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120525.35999999999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1400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180487.87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71413.19</v>
      </c>
      <c r="D124" s="24" t="s">
        <v>289</v>
      </c>
      <c r="E124" s="95">
        <f>+('DOE25'!L287)+('DOE25'!L306)+('DOE25'!L325)</f>
        <v>1261.8800000000001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65211.72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694324.76</v>
      </c>
      <c r="D128" s="86">
        <f>SUM(D118:D127)</f>
        <v>65211.72</v>
      </c>
      <c r="E128" s="86">
        <f>SUM(E118:E127)</f>
        <v>86823.38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45000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8215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9400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20034.55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25267.019999999997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-301.56999999999243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9382.1200000000008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116997.12000000001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1974650.3800000001</v>
      </c>
      <c r="D145" s="86">
        <f>(D115+D128+D144)</f>
        <v>65211.72</v>
      </c>
      <c r="E145" s="86">
        <f>(E115+E128+E144)</f>
        <v>221110.16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08/1997</v>
      </c>
      <c r="C152" s="152" t="str">
        <f>'DOE25'!G491</f>
        <v>08/1997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08/2017</v>
      </c>
      <c r="C153" s="152" t="str">
        <f>'DOE25'!G492</f>
        <v>08/2017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249438</v>
      </c>
      <c r="C154" s="137">
        <f>'DOE25'!G493</f>
        <v>748312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5.01</v>
      </c>
      <c r="C155" s="137">
        <f>'DOE25'!G494</f>
        <v>4.9800000000000004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40000</v>
      </c>
      <c r="C156" s="137">
        <f>'DOE25'!G495</f>
        <v>140000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180000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10000</v>
      </c>
      <c r="C158" s="137">
        <f>'DOE25'!G497</f>
        <v>35000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45000</v>
      </c>
    </row>
    <row r="159" spans="1:9" x14ac:dyDescent="0.2">
      <c r="A159" s="22" t="s">
        <v>35</v>
      </c>
      <c r="B159" s="137">
        <f>'DOE25'!F498</f>
        <v>30000</v>
      </c>
      <c r="C159" s="137">
        <f>'DOE25'!G498</f>
        <v>105000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135000</v>
      </c>
    </row>
    <row r="160" spans="1:9" x14ac:dyDescent="0.2">
      <c r="A160" s="22" t="s">
        <v>36</v>
      </c>
      <c r="B160" s="137">
        <f>'DOE25'!F499</f>
        <v>2382.5</v>
      </c>
      <c r="C160" s="137">
        <f>'DOE25'!G499</f>
        <v>8190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10572.5</v>
      </c>
    </row>
    <row r="161" spans="1:7" x14ac:dyDescent="0.2">
      <c r="A161" s="22" t="s">
        <v>37</v>
      </c>
      <c r="B161" s="137">
        <f>'DOE25'!F500</f>
        <v>32382.5</v>
      </c>
      <c r="C161" s="137">
        <f>'DOE25'!G500</f>
        <v>113190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145572.5</v>
      </c>
    </row>
    <row r="162" spans="1:7" x14ac:dyDescent="0.2">
      <c r="A162" s="22" t="s">
        <v>38</v>
      </c>
      <c r="B162" s="137">
        <f>'DOE25'!F501</f>
        <v>10000</v>
      </c>
      <c r="C162" s="137">
        <f>'DOE25'!G501</f>
        <v>35000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45000</v>
      </c>
    </row>
    <row r="163" spans="1:7" x14ac:dyDescent="0.2">
      <c r="A163" s="22" t="s">
        <v>39</v>
      </c>
      <c r="B163" s="137">
        <f>'DOE25'!F502</f>
        <v>1322.5</v>
      </c>
      <c r="C163" s="137">
        <f>'DOE25'!G502</f>
        <v>4550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5872.5</v>
      </c>
    </row>
    <row r="164" spans="1:7" x14ac:dyDescent="0.2">
      <c r="A164" s="22" t="s">
        <v>246</v>
      </c>
      <c r="B164" s="137">
        <f>'DOE25'!F503</f>
        <v>11322.5</v>
      </c>
      <c r="C164" s="137">
        <f>'DOE25'!G503</f>
        <v>39550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50872.5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STEWARTSTOWN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17876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17876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1126901</v>
      </c>
      <c r="D10" s="182">
        <f>ROUND((C10/$C$28)*100,1)</f>
        <v>52.5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157184</v>
      </c>
      <c r="D11" s="182">
        <f>ROUND((C11/$C$28)*100,1)</f>
        <v>7.3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13530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185019</v>
      </c>
      <c r="D15" s="182">
        <f t="shared" ref="D15:D27" si="0">ROUND((C15/$C$28)*100,1)</f>
        <v>8.6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101874</v>
      </c>
      <c r="D16" s="182">
        <f t="shared" si="0"/>
        <v>4.7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119166</v>
      </c>
      <c r="D17" s="182">
        <f t="shared" si="0"/>
        <v>5.5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120525</v>
      </c>
      <c r="D18" s="182">
        <f t="shared" si="0"/>
        <v>5.6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1400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180488</v>
      </c>
      <c r="D20" s="182">
        <f t="shared" si="0"/>
        <v>8.4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72675</v>
      </c>
      <c r="D21" s="182">
        <f t="shared" si="0"/>
        <v>3.4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8215</v>
      </c>
      <c r="D25" s="182">
        <f t="shared" si="0"/>
        <v>0.4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9382.1200000000008</v>
      </c>
      <c r="D26" s="182">
        <f t="shared" si="0"/>
        <v>0.4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51276.38</v>
      </c>
      <c r="D27" s="182">
        <f t="shared" si="0"/>
        <v>2.4</v>
      </c>
    </row>
    <row r="28" spans="1:4" x14ac:dyDescent="0.2">
      <c r="B28" s="187" t="s">
        <v>723</v>
      </c>
      <c r="C28" s="180">
        <f>SUM(C10:C27)</f>
        <v>2147635.5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2147635.5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45000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1107214</v>
      </c>
      <c r="D35" s="182">
        <f t="shared" ref="D35:D40" si="1">ROUND((C35/$C$41)*100,1)</f>
        <v>50.7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26497.710000000196</v>
      </c>
      <c r="D36" s="182">
        <f t="shared" si="1"/>
        <v>1.2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724837</v>
      </c>
      <c r="D37" s="182">
        <f t="shared" si="1"/>
        <v>33.200000000000003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74011</v>
      </c>
      <c r="D38" s="182">
        <f t="shared" si="1"/>
        <v>3.4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253249</v>
      </c>
      <c r="D39" s="182">
        <f t="shared" si="1"/>
        <v>11.6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2185808.71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STEWARTSTOWN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2015-09-08T13:40:33Z</cp:lastPrinted>
  <dcterms:created xsi:type="dcterms:W3CDTF">1997-12-04T19:04:30Z</dcterms:created>
  <dcterms:modified xsi:type="dcterms:W3CDTF">2015-10-15T13:32:46Z</dcterms:modified>
</cp:coreProperties>
</file>