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K422" i="1" l="1"/>
  <c r="C45" i="2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L244" i="1"/>
  <c r="F17" i="13"/>
  <c r="G17" i="13"/>
  <c r="D17" i="13" s="1"/>
  <c r="C17" i="13" s="1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56" i="2" s="1"/>
  <c r="F79" i="1"/>
  <c r="C57" i="2" s="1"/>
  <c r="F94" i="1"/>
  <c r="C58" i="2" s="1"/>
  <c r="F111" i="1"/>
  <c r="G111" i="1"/>
  <c r="G112" i="1" s="1"/>
  <c r="H79" i="1"/>
  <c r="E57" i="2" s="1"/>
  <c r="H94" i="1"/>
  <c r="E58" i="2" s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D85" i="2" s="1"/>
  <c r="G162" i="1"/>
  <c r="H147" i="1"/>
  <c r="E85" i="2" s="1"/>
  <c r="H162" i="1"/>
  <c r="I147" i="1"/>
  <c r="I162" i="1"/>
  <c r="L250" i="1"/>
  <c r="C113" i="2" s="1"/>
  <c r="L332" i="1"/>
  <c r="E113" i="2" s="1"/>
  <c r="L254" i="1"/>
  <c r="L268" i="1"/>
  <c r="L269" i="1"/>
  <c r="L349" i="1"/>
  <c r="E142" i="2" s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D115" i="2"/>
  <c r="F115" i="2"/>
  <c r="G115" i="2"/>
  <c r="F128" i="2"/>
  <c r="G128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F460" i="1"/>
  <c r="G460" i="1"/>
  <c r="G461" i="1" s="1"/>
  <c r="H640" i="1" s="1"/>
  <c r="H460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G644" i="1"/>
  <c r="G651" i="1"/>
  <c r="G652" i="1"/>
  <c r="H652" i="1"/>
  <c r="G653" i="1"/>
  <c r="H653" i="1"/>
  <c r="G654" i="1"/>
  <c r="H654" i="1"/>
  <c r="H655" i="1"/>
  <c r="J140" i="1"/>
  <c r="G22" i="2"/>
  <c r="H552" i="1"/>
  <c r="H140" i="1"/>
  <c r="F22" i="13" l="1"/>
  <c r="C22" i="13" s="1"/>
  <c r="G476" i="1"/>
  <c r="H623" i="1" s="1"/>
  <c r="J623" i="1" s="1"/>
  <c r="I476" i="1"/>
  <c r="H625" i="1" s="1"/>
  <c r="J625" i="1" s="1"/>
  <c r="F461" i="1"/>
  <c r="H639" i="1" s="1"/>
  <c r="E78" i="2"/>
  <c r="L419" i="1"/>
  <c r="F408" i="1"/>
  <c r="H643" i="1" s="1"/>
  <c r="F571" i="1"/>
  <c r="H461" i="1"/>
  <c r="H641" i="1" s="1"/>
  <c r="I408" i="1"/>
  <c r="L570" i="1"/>
  <c r="I552" i="1"/>
  <c r="F130" i="2"/>
  <c r="F144" i="2" s="1"/>
  <c r="F145" i="2" s="1"/>
  <c r="F112" i="1"/>
  <c r="E109" i="2"/>
  <c r="C122" i="2"/>
  <c r="J641" i="1"/>
  <c r="J571" i="1"/>
  <c r="D19" i="13"/>
  <c r="C19" i="13" s="1"/>
  <c r="L534" i="1"/>
  <c r="J545" i="1"/>
  <c r="H408" i="1"/>
  <c r="H644" i="1" s="1"/>
  <c r="J644" i="1" s="1"/>
  <c r="H192" i="1"/>
  <c r="G408" i="1"/>
  <c r="H645" i="1" s="1"/>
  <c r="G156" i="2"/>
  <c r="I369" i="1"/>
  <c r="H634" i="1" s="1"/>
  <c r="J634" i="1" s="1"/>
  <c r="J640" i="1"/>
  <c r="K571" i="1"/>
  <c r="L560" i="1"/>
  <c r="G192" i="1"/>
  <c r="L401" i="1"/>
  <c r="C139" i="2" s="1"/>
  <c r="L393" i="1"/>
  <c r="C138" i="2" s="1"/>
  <c r="L328" i="1"/>
  <c r="L309" i="1"/>
  <c r="E125" i="2"/>
  <c r="G661" i="1"/>
  <c r="D18" i="13"/>
  <c r="C18" i="13" s="1"/>
  <c r="L539" i="1"/>
  <c r="C29" i="10"/>
  <c r="J639" i="1"/>
  <c r="L433" i="1"/>
  <c r="L427" i="1"/>
  <c r="G164" i="2"/>
  <c r="G161" i="2"/>
  <c r="G157" i="2"/>
  <c r="F78" i="2"/>
  <c r="C56" i="2"/>
  <c r="C26" i="10"/>
  <c r="J476" i="1"/>
  <c r="H626" i="1" s="1"/>
  <c r="F476" i="1"/>
  <c r="H622" i="1" s="1"/>
  <c r="J622" i="1" s="1"/>
  <c r="E13" i="13"/>
  <c r="C13" i="13" s="1"/>
  <c r="D12" i="13"/>
  <c r="C12" i="13" s="1"/>
  <c r="D29" i="13"/>
  <c r="C29" i="13" s="1"/>
  <c r="H571" i="1"/>
  <c r="J338" i="1"/>
  <c r="J352" i="1" s="1"/>
  <c r="D62" i="2"/>
  <c r="D63" i="2" s="1"/>
  <c r="F661" i="1"/>
  <c r="L362" i="1"/>
  <c r="G635" i="1" s="1"/>
  <c r="J635" i="1" s="1"/>
  <c r="J651" i="1"/>
  <c r="K500" i="1"/>
  <c r="I460" i="1"/>
  <c r="I452" i="1"/>
  <c r="I446" i="1"/>
  <c r="G642" i="1" s="1"/>
  <c r="C121" i="2"/>
  <c r="C114" i="2"/>
  <c r="H661" i="1"/>
  <c r="F169" i="1"/>
  <c r="J655" i="1"/>
  <c r="K503" i="1"/>
  <c r="L382" i="1"/>
  <c r="G636" i="1" s="1"/>
  <c r="J636" i="1" s="1"/>
  <c r="K338" i="1"/>
  <c r="D127" i="2"/>
  <c r="D128" i="2" s="1"/>
  <c r="D145" i="2" s="1"/>
  <c r="G62" i="2"/>
  <c r="G63" i="2" s="1"/>
  <c r="E16" i="13"/>
  <c r="C16" i="13" s="1"/>
  <c r="F338" i="1"/>
  <c r="F352" i="1" s="1"/>
  <c r="L256" i="1"/>
  <c r="E122" i="2"/>
  <c r="E118" i="2"/>
  <c r="C111" i="2"/>
  <c r="L565" i="1"/>
  <c r="K545" i="1"/>
  <c r="F192" i="1"/>
  <c r="D81" i="2"/>
  <c r="L270" i="1"/>
  <c r="K550" i="1"/>
  <c r="E121" i="2"/>
  <c r="E112" i="2"/>
  <c r="C110" i="2"/>
  <c r="J257" i="1"/>
  <c r="J271" i="1" s="1"/>
  <c r="D50" i="2"/>
  <c r="J552" i="1"/>
  <c r="A13" i="12"/>
  <c r="A31" i="12"/>
  <c r="E114" i="2"/>
  <c r="E124" i="2"/>
  <c r="E120" i="2"/>
  <c r="E111" i="2"/>
  <c r="H662" i="1"/>
  <c r="J643" i="1"/>
  <c r="K605" i="1"/>
  <c r="G648" i="1" s="1"/>
  <c r="I545" i="1"/>
  <c r="H476" i="1"/>
  <c r="H624" i="1" s="1"/>
  <c r="J624" i="1" s="1"/>
  <c r="G338" i="1"/>
  <c r="G352" i="1" s="1"/>
  <c r="K257" i="1"/>
  <c r="G552" i="1"/>
  <c r="D91" i="2"/>
  <c r="E123" i="2"/>
  <c r="E119" i="2"/>
  <c r="G662" i="1"/>
  <c r="E31" i="2"/>
  <c r="K598" i="1"/>
  <c r="G647" i="1" s="1"/>
  <c r="J649" i="1"/>
  <c r="L614" i="1"/>
  <c r="L544" i="1"/>
  <c r="H545" i="1"/>
  <c r="F552" i="1"/>
  <c r="G545" i="1"/>
  <c r="K549" i="1"/>
  <c r="L529" i="1"/>
  <c r="K551" i="1"/>
  <c r="L524" i="1"/>
  <c r="L351" i="1"/>
  <c r="C25" i="10"/>
  <c r="H25" i="13"/>
  <c r="H33" i="13" s="1"/>
  <c r="K352" i="1"/>
  <c r="H338" i="1"/>
  <c r="H352" i="1" s="1"/>
  <c r="C19" i="10"/>
  <c r="C18" i="10"/>
  <c r="C16" i="10"/>
  <c r="L290" i="1"/>
  <c r="E110" i="2"/>
  <c r="K271" i="1"/>
  <c r="C132" i="2"/>
  <c r="C32" i="10"/>
  <c r="L247" i="1"/>
  <c r="C112" i="2"/>
  <c r="I257" i="1"/>
  <c r="I271" i="1" s="1"/>
  <c r="H257" i="1"/>
  <c r="H271" i="1" s="1"/>
  <c r="G257" i="1"/>
  <c r="G271" i="1" s="1"/>
  <c r="G650" i="1"/>
  <c r="J650" i="1" s="1"/>
  <c r="C20" i="10"/>
  <c r="L229" i="1"/>
  <c r="F257" i="1"/>
  <c r="F271" i="1" s="1"/>
  <c r="D6" i="13"/>
  <c r="C6" i="13" s="1"/>
  <c r="C119" i="2"/>
  <c r="D15" i="13"/>
  <c r="C15" i="13" s="1"/>
  <c r="C124" i="2"/>
  <c r="D14" i="13"/>
  <c r="C14" i="13" s="1"/>
  <c r="C123" i="2"/>
  <c r="C118" i="2"/>
  <c r="A40" i="12"/>
  <c r="C12" i="10"/>
  <c r="C11" i="10"/>
  <c r="C17" i="10"/>
  <c r="C125" i="2"/>
  <c r="H647" i="1"/>
  <c r="F662" i="1"/>
  <c r="C21" i="10"/>
  <c r="C120" i="2"/>
  <c r="E8" i="13"/>
  <c r="C8" i="13" s="1"/>
  <c r="D7" i="13"/>
  <c r="C7" i="13" s="1"/>
  <c r="L211" i="1"/>
  <c r="C15" i="10"/>
  <c r="C13" i="10"/>
  <c r="C109" i="2"/>
  <c r="D5" i="13"/>
  <c r="C5" i="13" s="1"/>
  <c r="C10" i="10"/>
  <c r="I52" i="1"/>
  <c r="H620" i="1" s="1"/>
  <c r="J620" i="1" s="1"/>
  <c r="F18" i="2"/>
  <c r="H52" i="1"/>
  <c r="H619" i="1" s="1"/>
  <c r="J619" i="1" s="1"/>
  <c r="D31" i="2"/>
  <c r="D18" i="2"/>
  <c r="J617" i="1"/>
  <c r="C18" i="2"/>
  <c r="G645" i="1"/>
  <c r="J112" i="1"/>
  <c r="J193" i="1" s="1"/>
  <c r="G646" i="1" s="1"/>
  <c r="C35" i="10"/>
  <c r="I169" i="1"/>
  <c r="F85" i="2"/>
  <c r="F91" i="2" s="1"/>
  <c r="F81" i="2"/>
  <c r="E103" i="2"/>
  <c r="H169" i="1"/>
  <c r="E81" i="2"/>
  <c r="E62" i="2"/>
  <c r="E63" i="2" s="1"/>
  <c r="H112" i="1"/>
  <c r="C91" i="2"/>
  <c r="C78" i="2"/>
  <c r="C70" i="2"/>
  <c r="C62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L407" i="1"/>
  <c r="C140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G169" i="1"/>
  <c r="G140" i="1"/>
  <c r="F140" i="1"/>
  <c r="J618" i="1"/>
  <c r="G42" i="2"/>
  <c r="G50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G51" i="2" l="1"/>
  <c r="L434" i="1"/>
  <c r="G638" i="1" s="1"/>
  <c r="J638" i="1" s="1"/>
  <c r="H648" i="1"/>
  <c r="J648" i="1" s="1"/>
  <c r="G660" i="1"/>
  <c r="E128" i="2"/>
  <c r="C63" i="2"/>
  <c r="F193" i="1"/>
  <c r="G627" i="1" s="1"/>
  <c r="J627" i="1" s="1"/>
  <c r="G664" i="1"/>
  <c r="G672" i="1" s="1"/>
  <c r="C5" i="10" s="1"/>
  <c r="L408" i="1"/>
  <c r="G637" i="1" s="1"/>
  <c r="J637" i="1" s="1"/>
  <c r="C81" i="2"/>
  <c r="I661" i="1"/>
  <c r="L571" i="1"/>
  <c r="C27" i="10"/>
  <c r="C28" i="10" s="1"/>
  <c r="D25" i="10" s="1"/>
  <c r="J645" i="1"/>
  <c r="C141" i="2"/>
  <c r="C144" i="2" s="1"/>
  <c r="H660" i="1"/>
  <c r="E115" i="2"/>
  <c r="E145" i="2" s="1"/>
  <c r="G104" i="2"/>
  <c r="I662" i="1"/>
  <c r="H664" i="1"/>
  <c r="H667" i="1" s="1"/>
  <c r="I461" i="1"/>
  <c r="H642" i="1" s="1"/>
  <c r="J642" i="1" s="1"/>
  <c r="D51" i="2"/>
  <c r="L338" i="1"/>
  <c r="L352" i="1" s="1"/>
  <c r="G633" i="1" s="1"/>
  <c r="J633" i="1" s="1"/>
  <c r="E51" i="2"/>
  <c r="J647" i="1"/>
  <c r="K552" i="1"/>
  <c r="L545" i="1"/>
  <c r="C25" i="13"/>
  <c r="F660" i="1"/>
  <c r="D31" i="13"/>
  <c r="C31" i="13" s="1"/>
  <c r="C115" i="2"/>
  <c r="C128" i="2"/>
  <c r="E33" i="13"/>
  <c r="D35" i="13" s="1"/>
  <c r="L257" i="1"/>
  <c r="L271" i="1" s="1"/>
  <c r="G632" i="1" s="1"/>
  <c r="J632" i="1" s="1"/>
  <c r="F51" i="2"/>
  <c r="C36" i="10"/>
  <c r="I193" i="1"/>
  <c r="G630" i="1" s="1"/>
  <c r="J630" i="1" s="1"/>
  <c r="F104" i="2"/>
  <c r="C39" i="10"/>
  <c r="E104" i="2"/>
  <c r="H193" i="1"/>
  <c r="G629" i="1" s="1"/>
  <c r="J629" i="1" s="1"/>
  <c r="D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H646" i="1"/>
  <c r="J646" i="1" s="1"/>
  <c r="G667" i="1"/>
  <c r="C104" i="2"/>
  <c r="H672" i="1"/>
  <c r="C6" i="10" s="1"/>
  <c r="D33" i="13"/>
  <c r="D36" i="13" s="1"/>
  <c r="F664" i="1"/>
  <c r="F672" i="1" s="1"/>
  <c r="C4" i="10" s="1"/>
  <c r="C145" i="2"/>
  <c r="D20" i="10"/>
  <c r="D23" i="10"/>
  <c r="D19" i="10"/>
  <c r="D18" i="10"/>
  <c r="D11" i="10"/>
  <c r="D12" i="10"/>
  <c r="C30" i="10"/>
  <c r="D17" i="10"/>
  <c r="D13" i="10"/>
  <c r="D24" i="10"/>
  <c r="D21" i="10"/>
  <c r="D15" i="10"/>
  <c r="D26" i="10"/>
  <c r="D10" i="10"/>
  <c r="D27" i="10"/>
  <c r="D22" i="10"/>
  <c r="D16" i="10"/>
  <c r="C41" i="10"/>
  <c r="D38" i="10" s="1"/>
  <c r="H656" i="1" l="1"/>
  <c r="I667" i="1"/>
  <c r="F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<sst xmlns="http://schemas.openxmlformats.org/spreadsheetml/2006/main" count="3954" uniqueCount="912">
  <si>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</si>
  <si>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</si>
  <si>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</si>
  <si>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</si>
  <si>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</si>
  <si>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</si>
  <si>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</si>
  <si>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</si>
  <si>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</si>
  <si>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</si>
  <si>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</si>
  <si>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</si>
  <si>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</si>
  <si>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</si>
  <si>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</si>
  <si>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</si>
  <si>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</si>
  <si>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</si>
  <si>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</si>
  <si>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</si>
  <si>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</si>
  <si>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</si>
  <si>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</si>
  <si>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</si>
  <si>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</si>
  <si>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</si>
  <si>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</si>
  <si>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</si>
  <si>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</si>
  <si>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</si>
  <si>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</si>
  <si>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</si>
  <si>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</si>
  <si>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</si>
  <si>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</si>
  <si>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</si>
  <si>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</si>
  <si>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</si>
  <si>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</si>
  <si>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</si>
  <si>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</si>
  <si>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</si>
  <si>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</si>
  <si>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</si>
  <si>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</si>
  <si>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</si>
  <si>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</si>
  <si>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</si>
  <si>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</si>
  <si>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</si>
  <si>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</si>
  <si>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</si>
  <si>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</si>
  <si>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</si>
  <si>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</si>
  <si>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</si>
  <si>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</si>
  <si>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</si>
  <si>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</si>
  <si>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</si>
  <si>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</si>
  <si>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</si>
  <si>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</si>
  <si>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</si>
  <si>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</si>
  <si>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</si>
  <si>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</si>
  <si>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</si>
  <si>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</si>
  <si>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</si>
  <si>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</si>
  <si>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</si>
  <si>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</si>
  <si>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</si>
  <si>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</si>
  <si>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</si>
  <si>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</si>
  <si>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</si>
  <si>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</si>
  <si>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</si>
  <si>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</si>
  <si>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</si>
  <si>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</si>
  <si>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</si>
  <si>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</si>
  <si>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</si>
  <si>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</si>
  <si>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</si>
  <si>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</si>
  <si>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</si>
  <si>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</si>
  <si>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</si>
  <si>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</si>
  <si>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</si>
  <si>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</si>
  <si>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</si>
  <si>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</si>
  <si>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</si>
  <si>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</si>
  <si>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</si>
  <si>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</si>
  <si>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</si>
  <si>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</si>
  <si>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</si>
  <si>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</si>
  <si>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</si>
  <si>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</si>
  <si>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</si>
  <si>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</si>
  <si>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</si>
  <si>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</si>
  <si>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</si>
  <si>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</si>
  <si>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</si>
  <si>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</si>
  <si>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</si>
  <si>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</si>
  <si>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</si>
  <si>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</si>
  <si>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</si>
  <si>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</si>
  <si>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</si>
  <si>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</si>
  <si>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</si>
  <si>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</si>
  <si>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</si>
  <si>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</si>
  <si>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</si>
  <si>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</si>
  <si>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</si>
  <si>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</si>
  <si>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</si>
  <si>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</si>
  <si>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</si>
  <si>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</si>
  <si>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</si>
  <si>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</si>
  <si>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</si>
  <si>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</si>
  <si>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</si>
  <si>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</si>
  <si>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</si>
  <si>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</si>
  <si>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</si>
  <si>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</si>
  <si>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</si>
  <si>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</si>
  <si>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</si>
  <si>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</si>
  <si>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</si>
  <si>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</si>
  <si>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</si>
  <si>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</si>
  <si>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</si>
  <si>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</si>
  <si>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</si>
  <si>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</si>
  <si>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</si>
  <si>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</si>
  <si>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</si>
  <si>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</si>
  <si>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</si>
  <si>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</si>
  <si>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</si>
  <si>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</si>
  <si>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</si>
  <si>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</si>
  <si>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</si>
  <si>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</si>
  <si>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</si>
  <si>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</si>
  <si>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</si>
  <si>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</si>
  <si>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</si>
  <si>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</si>
  <si>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</si>
  <si>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</si>
  <si>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</si>
  <si>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</si>
  <si>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</si>
  <si>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</si>
  <si>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</si>
  <si>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</si>
  <si>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</si>
  <si>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</si>
  <si>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</si>
  <si>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</si>
  <si>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</si>
  <si>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</si>
  <si>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</si>
  <si>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</si>
  <si>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</si>
  <si>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</si>
  <si>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</si>
  <si>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</si>
  <si>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</si>
  <si>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</si>
  <si>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</si>
  <si>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</si>
  <si>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</si>
  <si>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</si>
  <si>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</si>
  <si>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</si>
  <si>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</si>
  <si>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</si>
  <si>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</si>
  <si>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</si>
  <si>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</si>
  <si>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</si>
  <si>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</si>
  <si>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</si>
  <si>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</si>
  <si>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</si>
  <si>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</si>
  <si>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</si>
  <si>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</si>
  <si>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</si>
  <si>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</si>
  <si>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</si>
  <si>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</si>
  <si>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</si>
  <si>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</si>
  <si>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</si>
  <si>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</si>
  <si>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</si>
  <si>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</si>
  <si>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</si>
  <si>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</si>
  <si>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</si>
  <si>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</si>
  <si>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</si>
  <si>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</si>
  <si>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</si>
  <si>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</si>
  <si>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</si>
  <si>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</si>
  <si>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</si>
  <si>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</si>
  <si>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</si>
  <si>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</si>
  <si>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</si>
  <si>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</si>
  <si>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</si>
  <si>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</si>
  <si>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</si>
  <si>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</si>
  <si>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</si>
  <si>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</si>
  <si>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</si>
  <si>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</si>
  <si>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</si>
  <si>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</si>
  <si>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</si>
  <si>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</si>
  <si>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</si>
  <si>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</si>
  <si>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</si>
  <si>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</si>
  <si>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</si>
  <si>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</si>
  <si>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</si>
  <si>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</si>
  <si>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</si>
  <si>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</si>
  <si>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</si>
  <si>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</si>
  <si>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</si>
  <si>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</si>
  <si>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</si>
  <si>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</si>
  <si>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</si>
  <si>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</si>
  <si>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</si>
  <si>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</si>
  <si>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</si>
  <si>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</si>
  <si>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</si>
  <si>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</si>
  <si>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</si>
  <si>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</si>
  <si>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</si>
  <si>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</si>
  <si>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</si>
  <si>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</si>
  <si>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</si>
  <si>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</si>
  <si>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</si>
  <si>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</si>
  <si>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</si>
  <si>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</si>
  <si>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</si>
  <si>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</si>
  <si>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</si>
  <si>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</si>
  <si>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</si>
  <si>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</si>
  <si>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</si>
  <si>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</si>
  <si>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</si>
  <si>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</si>
  <si>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</si>
  <si>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</si>
  <si>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</si>
  <si>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</si>
  <si>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</si>
  <si>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</si>
  <si>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</si>
  <si>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</si>
  <si>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</si>
  <si>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</si>
  <si>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</si>
  <si>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</si>
  <si>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</si>
  <si>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</si>
  <si>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</si>
  <si>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</si>
  <si>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</si>
  <si>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</si>
  <si>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</si>
  <si>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</si>
  <si>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</si>
  <si>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</si>
  <si>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</si>
  <si>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</si>
  <si>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</si>
  <si>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</si>
  <si>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</si>
  <si>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</si>
  <si>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</si>
  <si>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</si>
  <si>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</si>
  <si>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</si>
  <si>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</si>
  <si>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</si>
  <si>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</si>
  <si>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</si>
  <si>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</si>
  <si>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</si>
  <si>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</si>
  <si>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</si>
  <si>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</si>
  <si>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</si>
  <si>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</si>
  <si>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</si>
  <si>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</si>
  <si>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</si>
  <si>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</si>
  <si>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</si>
  <si>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</si>
  <si>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</si>
  <si>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</si>
  <si>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</si>
  <si>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</si>
  <si>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</si>
  <si>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</si>
  <si>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</si>
  <si>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</si>
  <si>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</si>
  <si>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</si>
  <si>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</si>
  <si>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</si>
  <si>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</si>
  <si>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</si>
  <si>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</si>
  <si>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</si>
  <si>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</si>
  <si>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</si>
  <si>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</si>
  <si>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</si>
  <si>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</si>
  <si>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</si>
  <si>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</si>
  <si>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</si>
  <si>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</si>
  <si>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</si>
  <si>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</si>
  <si>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</si>
  <si>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</si>
  <si>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</si>
  <si>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</si>
  <si>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</si>
  <si>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</si>
  <si>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</si>
  <si>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</si>
  <si>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</si>
  <si>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</si>
  <si>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</si>
  <si>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</si>
  <si>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</si>
  <si>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</si>
  <si>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</si>
  <si>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</si>
  <si>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</si>
  <si>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</si>
  <si>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</si>
  <si>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</si>
  <si>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</si>
  <si>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</si>
  <si>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</si>
  <si>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</si>
  <si>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</si>
  <si>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</si>
  <si>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</si>
  <si>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</si>
  <si>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</si>
  <si>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</si>
  <si>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</si>
  <si>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</si>
  <si>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</si>
  <si>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</si>
  <si>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</si>
  <si>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</si>
  <si>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</si>
  <si>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</si>
  <si>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</si>
  <si>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</si>
  <si>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</si>
  <si>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</si>
  <si>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</si>
  <si>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</si>
  <si>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</si>
  <si>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</si>
  <si>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</si>
  <si>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</si>
  <si>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</si>
  <si>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</si>
  <si>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</si>
  <si>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</si>
  <si>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</si>
  <si>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</si>
  <si>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</si>
  <si>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</si>
  <si>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</si>
  <si>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</si>
  <si>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</si>
  <si>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</si>
  <si>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</si>
  <si>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</si>
  <si>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</si>
  <si>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</si>
  <si>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</si>
  <si>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</si>
  <si>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</si>
  <si>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</si>
  <si>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</si>
  <si>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</si>
  <si>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</si>
  <si>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</si>
  <si>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</si>
  <si>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</si>
  <si>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</si>
  <si>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</si>
  <si>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</si>
  <si>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</si>
  <si>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</si>
  <si>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</si>
  <si>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</si>
  <si>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</si>
  <si>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</si>
  <si>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</si>
  <si>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</si>
  <si>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</si>
  <si>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</si>
  <si>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</si>
  <si>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</si>
  <si>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</si>
  <si>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</si>
  <si>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</si>
  <si>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</si>
  <si>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</si>
  <si>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</si>
  <si>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</si>
  <si>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</si>
  <si>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</si>
  <si>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</si>
  <si>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</si>
  <si>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</si>
  <si>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</si>
  <si>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</si>
  <si>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</si>
  <si>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</si>
  <si>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</si>
  <si>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</si>
  <si>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</si>
  <si>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</si>
  <si>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</si>
  <si>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</si>
  <si>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</si>
  <si>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</si>
  <si>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</si>
  <si>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</si>
  <si>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</si>
  <si>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</si>
  <si>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</si>
  <si>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</si>
  <si>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</si>
  <si>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</si>
  <si>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</si>
  <si>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</si>
  <si>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</si>
  <si>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</si>
  <si>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</si>
  <si>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</si>
  <si>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</si>
  <si>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</si>
  <si>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</si>
  <si>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</si>
  <si>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</si>
  <si>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</si>
  <si>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</si>
  <si>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</si>
  <si>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</si>
  <si>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</si>
  <si>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</si>
  <si>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</si>
  <si>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</si>
  <si>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</si>
  <si>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</si>
  <si>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</si>
  <si>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</si>
  <si>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</si>
  <si>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</si>
  <si>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</si>
  <si>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</si>
  <si>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</si>
  <si>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</si>
  <si>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</si>
  <si>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</si>
  <si>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</si>
  <si>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</si>
  <si>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</si>
  <si>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</si>
  <si>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</si>
  <si>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</si>
  <si>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</si>
  <si>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</si>
  <si>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</si>
  <si>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</si>
  <si>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</si>
  <si>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</si>
  <si>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</si>
  <si>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</si>
  <si>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</si>
  <si>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</si>
  <si>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</si>
  <si>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</si>
  <si>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</si>
  <si>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</si>
  <si>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</si>
  <si>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</si>
  <si>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</si>
  <si>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</si>
  <si>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</si>
  <si>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</si>
  <si>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</si>
  <si>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</si>
  <si>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</si>
  <si>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</si>
  <si>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</si>
  <si>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</si>
  <si>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</si>
  <si>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</si>
  <si>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</si>
  <si>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</si>
  <si>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</si>
  <si>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</si>
  <si>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</si>
  <si>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</si>
  <si>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</si>
  <si>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</si>
  <si>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</si>
  <si>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</si>
  <si>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</si>
  <si>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</si>
  <si>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</si>
  <si>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</si>
  <si>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</si>
  <si>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</si>
  <si>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</si>
  <si>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</si>
  <si>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</si>
  <si>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</si>
  <si>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</si>
  <si>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</si>
  <si>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</si>
  <si>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</si>
  <si>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</si>
  <si>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</si>
  <si>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</si>
  <si>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</si>
  <si>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</si>
  <si>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</si>
  <si>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</si>
  <si>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</si>
  <si>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</si>
  <si>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</si>
  <si>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</si>
  <si>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</si>
  <si>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</si>
  <si>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</si>
  <si>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</si>
  <si>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</si>
  <si>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</si>
  <si>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</si>
  <si>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</si>
  <si>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</si>
  <si>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</si>
  <si>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</si>
  <si>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</si>
  <si>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</si>
  <si>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</si>
  <si>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</si>
  <si>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</si>
  <si>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</si>
  <si>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</si>
  <si>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</si>
  <si>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</si>
  <si>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</si>
  <si>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</si>
  <si>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</si>
  <si>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</si>
  <si>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</si>
  <si>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</si>
  <si>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</si>
  <si>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</si>
  <si>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</si>
  <si>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</si>
  <si>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</si>
  <si>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</si>
  <si>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</si>
  <si>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</si>
  <si>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</si>
  <si>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</si>
  <si>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</si>
  <si>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</si>
  <si>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</si>
  <si>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</si>
  <si>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</si>
  <si>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</si>
  <si>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</si>
  <si>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</si>
  <si>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</si>
  <si>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</si>
  <si>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</si>
  <si>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</si>
  <si>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</si>
  <si>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</si>
  <si>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</si>
  <si>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</si>
  <si>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</si>
  <si>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</si>
  <si>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</si>
  <si>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</si>
  <si>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</si>
  <si>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</si>
  <si>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</si>
  <si>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</si>
  <si>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</si>
  <si>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</si>
  <si>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</si>
  <si>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</si>
  <si>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</si>
  <si>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</si>
  <si>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</si>
  <si>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</si>
  <si>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</si>
  <si>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</si>
  <si>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</si>
  <si>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</si>
  <si>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</si>
  <si>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</si>
  <si>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</si>
  <si>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</si>
  <si>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</si>
  <si>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</si>
  <si>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</si>
  <si>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</si>
  <si>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</si>
  <si>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</si>
  <si>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</si>
  <si>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</si>
  <si>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</si>
  <si>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</si>
  <si>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</si>
  <si>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</si>
  <si>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</si>
  <si>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</si>
  <si>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</si>
  <si>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</si>
  <si>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</si>
  <si>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</si>
  <si>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</si>
  <si>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</si>
  <si>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</si>
  <si>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</si>
  <si>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</si>
  <si>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</si>
  <si>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</si>
  <si>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</si>
  <si>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</si>
  <si>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</si>
  <si>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</si>
  <si>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</si>
  <si>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</si>
  <si>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</si>
  <si>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</si>
  <si>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</si>
  <si>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</si>
  <si>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</si>
  <si>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</si>
  <si>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</si>
  <si>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</si>
  <si>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</si>
  <si>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</si>
  <si>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</si>
  <si>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</si>
  <si>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</si>
  <si>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</si>
  <si>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</si>
  <si>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</si>
  <si>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</si>
  <si>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</si>
  <si>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</si>
  <si>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</si>
  <si>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</si>
  <si>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</si>
  <si>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</si>
  <si>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</si>
  <si>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</si>
  <si>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</si>
  <si>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</si>
  <si>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</si>
  <si>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</si>
  <si>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</si>
  <si>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</si>
  <si>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</si>
  <si>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</si>
  <si>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</si>
  <si>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</si>
  <si>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</si>
  <si>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</si>
  <si>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</si>
  <si>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</si>
  <si>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</si>
  <si>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</si>
  <si>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</si>
  <si>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</si>
  <si>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</si>
  <si>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</si>
  <si>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</si>
  <si>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</si>
  <si>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</si>
  <si>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</si>
  <si>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</si>
  <si>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</si>
  <si>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</si>
  <si>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</si>
  <si>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</si>
  <si>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</si>
  <si>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</si>
  <si>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</si>
  <si>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</si>
  <si>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</si>
  <si>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</si>
  <si>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</si>
  <si>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</si>
  <si>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</si>
  <si>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</si>
  <si>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</si>
  <si>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</si>
  <si>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</si>
  <si>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</si>
  <si>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</si>
  <si>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</si>
  <si>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</si>
  <si>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</si>
  <si>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</si>
  <si>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</si>
  <si>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</si>
  <si>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</si>
  <si>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</si>
  <si>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</si>
  <si>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</si>
  <si>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</si>
  <si>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</si>
  <si>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</si>
  <si>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</si>
  <si>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</si>
  <si>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</si>
  <si>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</si>
  <si>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</si>
  <si>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</si>
  <si>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</si>
  <si>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</si>
  <si>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</si>
  <si>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</si>
  <si>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</si>
  <si>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</si>
  <si>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</si>
  <si>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</si>
  <si>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</si>
  <si>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</si>
  <si>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</si>
  <si>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</si>
  <si>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</si>
  <si>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</si>
  <si>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</si>
  <si>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</si>
  <si>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</si>
  <si>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</si>
  <si>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</si>
  <si>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</si>
  <si>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</si>
  <si>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</si>
  <si>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</si>
  <si>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</si>
  <si>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</si>
  <si>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</si>
  <si>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</si>
  <si>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</si>
  <si>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</si>
  <si>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</si>
  <si>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</si>
  <si>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</si>
  <si>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</si>
  <si>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</si>
  <si>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</si>
  <si>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</si>
  <si>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</si>
  <si>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</si>
  <si>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</si>
  <si>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</si>
  <si>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</si>
  <si>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</si>
  <si>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</si>
  <si>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</si>
  <si>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</si>
  <si>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</si>
  <si>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</si>
  <si>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</si>
  <si>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</si>
  <si>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</si>
  <si>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</si>
  <si>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</si>
  <si>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</si>
  <si>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</si>
  <si>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</si>
  <si>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</si>
  <si>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</si>
  <si>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</si>
  <si>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</si>
  <si>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</si>
  <si>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</si>
  <si>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</si>
  <si>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</si>
  <si>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</si>
  <si>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</si>
  <si>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</si>
  <si>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</si>
  <si>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</si>
  <si>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</si>
  <si>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</si>
  <si>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</si>
  <si>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</si>
  <si>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</si>
  <si>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</si>
  <si>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</si>
  <si>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</si>
  <si>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</si>
  <si>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</si>
  <si>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</si>
  <si>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</si>
  <si>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</si>
  <si>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</si>
  <si>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</si>
  <si>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</si>
  <si>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</si>
  <si>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</si>
  <si>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</si>
  <si>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</si>
  <si>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</si>
  <si>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</si>
  <si>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</si>
  <si>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</si>
  <si>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</si>
  <si>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</si>
  <si>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</si>
  <si>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</si>
  <si>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</si>
  <si>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</si>
  <si>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</si>
  <si>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</si>
  <si>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</si>
  <si>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</si>
  <si>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</si>
  <si>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</si>
  <si>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</si>
  <si>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</si>
  <si>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</si>
  <si>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</si>
  <si>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</si>
  <si>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</si>
  <si>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</si>
  <si>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</si>
  <si>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</si>
  <si>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</si>
  <si>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</si>
  <si>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</si>
  <si>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</si>
  <si>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</si>
  <si>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</si>
  <si>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STODDARD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</si>
</sst>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G665" sqref="G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503</v>
      </c>
      <c r="C2" s="21">
        <v>503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377610.02</v>
      </c>
      <c r="G9" s="18">
        <v>4138.88</v>
      </c>
      <c r="H9" s="18">
        <v>-4535.1000000000004</v>
      </c>
      <c r="I9" s="18">
        <v>0</v>
      </c>
      <c r="J9" s="67">
        <f>SUM(I439)</f>
        <v>336929.09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2843.05</v>
      </c>
      <c r="G13" s="18">
        <v>833.04</v>
      </c>
      <c r="H13" s="18">
        <v>4827.45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3282.64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383735.71</v>
      </c>
      <c r="G19" s="41">
        <f>SUM(G9:G18)</f>
        <v>4971.92</v>
      </c>
      <c r="H19" s="41">
        <f>SUM(H9:H18)</f>
        <v>292.34999999999945</v>
      </c>
      <c r="I19" s="41">
        <f>SUM(I9:I18)</f>
        <v>0</v>
      </c>
      <c r="J19" s="41">
        <f>SUM(J9:J18)</f>
        <v>336929.09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1713.84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292.35000000000002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1350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44920.5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1350.05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49334.39</v>
      </c>
      <c r="G32" s="41">
        <f>SUM(G22:G31)</f>
        <v>0</v>
      </c>
      <c r="H32" s="41">
        <f>SUM(H22:H31)</f>
        <v>292.35000000000002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/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>
        <v>0</v>
      </c>
      <c r="H44" s="18">
        <v>0</v>
      </c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4971.92</v>
      </c>
      <c r="H48" s="18"/>
      <c r="I48" s="18"/>
      <c r="J48" s="13">
        <f>SUM(I459)</f>
        <v>336929.09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234401.32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334401.32</v>
      </c>
      <c r="G51" s="41">
        <f>SUM(G35:G50)</f>
        <v>4971.92</v>
      </c>
      <c r="H51" s="41">
        <f>SUM(H35:H50)</f>
        <v>0</v>
      </c>
      <c r="I51" s="41">
        <f>SUM(I35:I50)</f>
        <v>0</v>
      </c>
      <c r="J51" s="41">
        <f>SUM(J35:J50)</f>
        <v>336929.09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383735.71</v>
      </c>
      <c r="G52" s="41">
        <f>G51+G32</f>
        <v>4971.92</v>
      </c>
      <c r="H52" s="41">
        <f>H51+H32</f>
        <v>292.35000000000002</v>
      </c>
      <c r="I52" s="41">
        <f>I51+I32</f>
        <v>0</v>
      </c>
      <c r="J52" s="41">
        <f>J51+J32</f>
        <v>336929.09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1741584</v>
      </c>
      <c r="G57" s="18">
        <v>18342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1741584</v>
      </c>
      <c r="G60" s="41">
        <f>SUM(G57:G59)</f>
        <v>18342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0</v>
      </c>
      <c r="H96" s="18">
        <v>0</v>
      </c>
      <c r="I96" s="18">
        <v>0</v>
      </c>
      <c r="J96" s="18">
        <v>3087.49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8642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22887.45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0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8140.24</v>
      </c>
      <c r="G110" s="18">
        <v>0</v>
      </c>
      <c r="H110" s="18">
        <v>0</v>
      </c>
      <c r="I110" s="18">
        <v>0</v>
      </c>
      <c r="J110" s="18">
        <v>0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31027.690000000002</v>
      </c>
      <c r="G111" s="41">
        <f>SUM(G96:G110)</f>
        <v>8642</v>
      </c>
      <c r="H111" s="41">
        <f>SUM(H96:H110)</f>
        <v>0</v>
      </c>
      <c r="I111" s="41">
        <f>SUM(I96:I110)</f>
        <v>0</v>
      </c>
      <c r="J111" s="41">
        <f>SUM(J96:J110)</f>
        <v>3087.49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1772611.69</v>
      </c>
      <c r="G112" s="41">
        <f>G60+G111</f>
        <v>26984</v>
      </c>
      <c r="H112" s="41">
        <f>H60+H79+H94+H111</f>
        <v>0</v>
      </c>
      <c r="I112" s="41">
        <f>I60+I111</f>
        <v>0</v>
      </c>
      <c r="J112" s="41">
        <f>J60+J111</f>
        <v>3087.49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630406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630406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73919.55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223.11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73919.55</v>
      </c>
      <c r="G136" s="41">
        <f>SUM(G123:G135)</f>
        <v>223.11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704325.55</v>
      </c>
      <c r="G140" s="41">
        <f>G121+SUM(G136:G137)</f>
        <v>223.11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33691.370000000003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9454.34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24006.080000000002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24006.080000000002</v>
      </c>
      <c r="G162" s="41">
        <f>SUM(G150:G161)</f>
        <v>9454.34</v>
      </c>
      <c r="H162" s="41">
        <f>SUM(H150:H161)</f>
        <v>33691.370000000003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24006.080000000002</v>
      </c>
      <c r="G169" s="41">
        <f>G147+G162+SUM(G163:G168)</f>
        <v>9454.34</v>
      </c>
      <c r="H169" s="41">
        <f>H147+H162+SUM(H163:H168)</f>
        <v>33691.370000000003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0</v>
      </c>
      <c r="H179" s="18">
        <v>0</v>
      </c>
      <c r="I179" s="18">
        <v>0</v>
      </c>
      <c r="J179" s="18">
        <v>200000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2500943.3200000003</v>
      </c>
      <c r="G193" s="47">
        <f>G112+G140+G169+G192</f>
        <v>36661.449999999997</v>
      </c>
      <c r="H193" s="47">
        <f>H112+H140+H169+H192</f>
        <v>33691.370000000003</v>
      </c>
      <c r="I193" s="47">
        <f>I112+I140+I169+I192</f>
        <v>0</v>
      </c>
      <c r="J193" s="47">
        <f>J112+J140+J192</f>
        <v>203087.49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259021.28</v>
      </c>
      <c r="G197" s="18">
        <v>85385.32</v>
      </c>
      <c r="H197" s="18">
        <v>19050.009999999998</v>
      </c>
      <c r="I197" s="18">
        <v>20939.34</v>
      </c>
      <c r="J197" s="18">
        <v>6401.61</v>
      </c>
      <c r="K197" s="18">
        <v>2813.35</v>
      </c>
      <c r="L197" s="19">
        <f>SUM(F197:K197)</f>
        <v>393610.91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95348.36</v>
      </c>
      <c r="G198" s="18">
        <v>14401.33</v>
      </c>
      <c r="H198" s="18">
        <v>12725.98</v>
      </c>
      <c r="I198" s="18">
        <v>732.84</v>
      </c>
      <c r="J198" s="18">
        <v>0</v>
      </c>
      <c r="K198" s="18">
        <v>4662.4799999999996</v>
      </c>
      <c r="L198" s="19">
        <f>SUM(F198:K198)</f>
        <v>127870.98999999999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0</v>
      </c>
      <c r="G200" s="18">
        <v>0</v>
      </c>
      <c r="H200" s="18">
        <v>970.75</v>
      </c>
      <c r="I200" s="18">
        <v>0</v>
      </c>
      <c r="J200" s="18">
        <v>0</v>
      </c>
      <c r="K200" s="18">
        <v>0</v>
      </c>
      <c r="L200" s="19">
        <f>SUM(F200:K200)</f>
        <v>970.75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24917.5</v>
      </c>
      <c r="G202" s="18">
        <v>1906.12</v>
      </c>
      <c r="H202" s="18">
        <v>43673.79</v>
      </c>
      <c r="I202" s="18">
        <v>536.5</v>
      </c>
      <c r="J202" s="18">
        <v>0</v>
      </c>
      <c r="K202" s="18">
        <v>0</v>
      </c>
      <c r="L202" s="19">
        <f t="shared" ref="L202:L208" si="0">SUM(F202:K202)</f>
        <v>71033.91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5114.22</v>
      </c>
      <c r="G203" s="18">
        <v>2892.2</v>
      </c>
      <c r="H203" s="18">
        <v>695.2</v>
      </c>
      <c r="I203" s="18">
        <v>15738.22</v>
      </c>
      <c r="J203" s="18">
        <v>1033.3</v>
      </c>
      <c r="K203" s="18">
        <v>425</v>
      </c>
      <c r="L203" s="19">
        <f t="shared" si="0"/>
        <v>25898.14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1408</v>
      </c>
      <c r="G204" s="18">
        <v>107.72</v>
      </c>
      <c r="H204" s="18">
        <v>69774.03</v>
      </c>
      <c r="I204" s="18">
        <v>1025.67</v>
      </c>
      <c r="J204" s="18">
        <v>0</v>
      </c>
      <c r="K204" s="18">
        <v>1335.35</v>
      </c>
      <c r="L204" s="19">
        <f t="shared" si="0"/>
        <v>73650.77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92557.64</v>
      </c>
      <c r="G205" s="18">
        <v>40747.760000000002</v>
      </c>
      <c r="H205" s="18">
        <v>7896.72</v>
      </c>
      <c r="I205" s="18">
        <v>660.68</v>
      </c>
      <c r="J205" s="18">
        <v>0</v>
      </c>
      <c r="K205" s="18">
        <v>235</v>
      </c>
      <c r="L205" s="19">
        <f t="shared" si="0"/>
        <v>142097.79999999999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52426.17</v>
      </c>
      <c r="G207" s="18">
        <v>4207.9399999999996</v>
      </c>
      <c r="H207" s="18">
        <v>87250.12</v>
      </c>
      <c r="I207" s="18">
        <v>38690.26</v>
      </c>
      <c r="J207" s="18">
        <v>5654.91</v>
      </c>
      <c r="K207" s="18">
        <v>0</v>
      </c>
      <c r="L207" s="19">
        <f t="shared" si="0"/>
        <v>188229.4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81064.56</v>
      </c>
      <c r="I208" s="18">
        <v>0</v>
      </c>
      <c r="J208" s="18">
        <v>0</v>
      </c>
      <c r="K208" s="18">
        <v>0</v>
      </c>
      <c r="L208" s="19">
        <f t="shared" si="0"/>
        <v>81064.56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530793.17000000004</v>
      </c>
      <c r="G211" s="41">
        <f t="shared" si="1"/>
        <v>149648.39000000001</v>
      </c>
      <c r="H211" s="41">
        <f t="shared" si="1"/>
        <v>323101.16000000003</v>
      </c>
      <c r="I211" s="41">
        <f t="shared" si="1"/>
        <v>78323.510000000009</v>
      </c>
      <c r="J211" s="41">
        <f t="shared" si="1"/>
        <v>13089.82</v>
      </c>
      <c r="K211" s="41">
        <f t="shared" si="1"/>
        <v>9471.18</v>
      </c>
      <c r="L211" s="41">
        <f t="shared" si="1"/>
        <v>1104427.23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0</v>
      </c>
      <c r="G215" s="18">
        <v>0</v>
      </c>
      <c r="H215" s="18">
        <v>304060.23</v>
      </c>
      <c r="I215" s="18">
        <v>0</v>
      </c>
      <c r="J215" s="18">
        <v>0</v>
      </c>
      <c r="K215" s="18">
        <v>0</v>
      </c>
      <c r="L215" s="19">
        <f>SUM(F215:K215)</f>
        <v>304060.23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0</v>
      </c>
      <c r="G216" s="18">
        <v>0</v>
      </c>
      <c r="H216" s="18">
        <v>184926.77</v>
      </c>
      <c r="I216" s="18">
        <v>0</v>
      </c>
      <c r="J216" s="18">
        <v>0</v>
      </c>
      <c r="K216" s="18">
        <v>0</v>
      </c>
      <c r="L216" s="19">
        <f>SUM(F216:K216)</f>
        <v>184926.77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162</v>
      </c>
      <c r="G222" s="18">
        <v>12.39</v>
      </c>
      <c r="H222" s="18">
        <v>22941.21</v>
      </c>
      <c r="I222" s="18">
        <v>17</v>
      </c>
      <c r="J222" s="18">
        <v>0</v>
      </c>
      <c r="K222" s="18">
        <v>296.85000000000002</v>
      </c>
      <c r="L222" s="19">
        <f t="shared" si="2"/>
        <v>23429.449999999997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29507.91</v>
      </c>
      <c r="I226" s="18">
        <v>0</v>
      </c>
      <c r="J226" s="18">
        <v>0</v>
      </c>
      <c r="K226" s="18">
        <v>0</v>
      </c>
      <c r="L226" s="19">
        <f t="shared" si="2"/>
        <v>29507.91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162</v>
      </c>
      <c r="G229" s="41">
        <f>SUM(G215:G228)</f>
        <v>12.39</v>
      </c>
      <c r="H229" s="41">
        <f>SUM(H215:H228)</f>
        <v>541436.12</v>
      </c>
      <c r="I229" s="41">
        <f>SUM(I215:I228)</f>
        <v>17</v>
      </c>
      <c r="J229" s="41">
        <f>SUM(J215:J228)</f>
        <v>0</v>
      </c>
      <c r="K229" s="41">
        <f t="shared" si="3"/>
        <v>296.85000000000002</v>
      </c>
      <c r="L229" s="41">
        <f t="shared" si="3"/>
        <v>541924.36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0</v>
      </c>
      <c r="G233" s="18">
        <v>0</v>
      </c>
      <c r="H233" s="18">
        <v>372884.17</v>
      </c>
      <c r="I233" s="18">
        <v>0</v>
      </c>
      <c r="J233" s="18">
        <v>0</v>
      </c>
      <c r="K233" s="18">
        <v>0</v>
      </c>
      <c r="L233" s="19">
        <f>SUM(F233:K233)</f>
        <v>372884.17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0</v>
      </c>
      <c r="G234" s="18">
        <v>0</v>
      </c>
      <c r="H234" s="18">
        <v>307125.15999999997</v>
      </c>
      <c r="I234" s="18">
        <v>0</v>
      </c>
      <c r="J234" s="18">
        <v>0</v>
      </c>
      <c r="K234" s="18">
        <v>0</v>
      </c>
      <c r="L234" s="19">
        <f>SUM(F234:K234)</f>
        <v>307125.15999999997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0</v>
      </c>
      <c r="G236" s="18"/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380</v>
      </c>
      <c r="G240" s="18">
        <v>29.07</v>
      </c>
      <c r="H240" s="18">
        <v>53980.4</v>
      </c>
      <c r="I240" s="18">
        <v>40</v>
      </c>
      <c r="J240" s="18">
        <v>0</v>
      </c>
      <c r="K240" s="18">
        <v>698.53</v>
      </c>
      <c r="L240" s="19">
        <f t="shared" si="4"/>
        <v>55128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31399.3</v>
      </c>
      <c r="I244" s="18">
        <v>0</v>
      </c>
      <c r="J244" s="18">
        <v>0</v>
      </c>
      <c r="K244" s="18">
        <v>0</v>
      </c>
      <c r="L244" s="19">
        <f t="shared" si="4"/>
        <v>31399.3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380</v>
      </c>
      <c r="G247" s="41">
        <f t="shared" si="5"/>
        <v>29.07</v>
      </c>
      <c r="H247" s="41">
        <f t="shared" si="5"/>
        <v>765389.03</v>
      </c>
      <c r="I247" s="41">
        <f t="shared" si="5"/>
        <v>40</v>
      </c>
      <c r="J247" s="41">
        <f t="shared" si="5"/>
        <v>0</v>
      </c>
      <c r="K247" s="41">
        <f t="shared" si="5"/>
        <v>698.53</v>
      </c>
      <c r="L247" s="41">
        <f t="shared" si="5"/>
        <v>766536.63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45000</v>
      </c>
      <c r="I255" s="18"/>
      <c r="J255" s="18"/>
      <c r="K255" s="18"/>
      <c r="L255" s="19">
        <f t="shared" si="6"/>
        <v>45000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45000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45000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531335.17000000004</v>
      </c>
      <c r="G257" s="41">
        <f t="shared" si="8"/>
        <v>149689.85000000003</v>
      </c>
      <c r="H257" s="41">
        <f t="shared" si="8"/>
        <v>1674926.31</v>
      </c>
      <c r="I257" s="41">
        <f t="shared" si="8"/>
        <v>78380.510000000009</v>
      </c>
      <c r="J257" s="41">
        <f t="shared" si="8"/>
        <v>13089.82</v>
      </c>
      <c r="K257" s="41">
        <f t="shared" si="8"/>
        <v>10466.560000000001</v>
      </c>
      <c r="L257" s="41">
        <f t="shared" si="8"/>
        <v>2457888.2199999997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200000</v>
      </c>
      <c r="L266" s="19">
        <f t="shared" si="9"/>
        <v>200000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200000</v>
      </c>
      <c r="L270" s="41">
        <f t="shared" si="9"/>
        <v>200000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531335.17000000004</v>
      </c>
      <c r="G271" s="42">
        <f t="shared" si="11"/>
        <v>149689.85000000003</v>
      </c>
      <c r="H271" s="42">
        <f t="shared" si="11"/>
        <v>1674926.31</v>
      </c>
      <c r="I271" s="42">
        <f t="shared" si="11"/>
        <v>78380.510000000009</v>
      </c>
      <c r="J271" s="42">
        <f t="shared" si="11"/>
        <v>13089.82</v>
      </c>
      <c r="K271" s="42">
        <f t="shared" si="11"/>
        <v>210466.56</v>
      </c>
      <c r="L271" s="42">
        <f t="shared" si="11"/>
        <v>2657888.2199999997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11999.31</v>
      </c>
      <c r="G276" s="18">
        <v>1180.68</v>
      </c>
      <c r="H276" s="18">
        <v>0</v>
      </c>
      <c r="I276" s="18">
        <v>86.24</v>
      </c>
      <c r="J276" s="18">
        <v>0</v>
      </c>
      <c r="K276" s="18">
        <v>15114.92</v>
      </c>
      <c r="L276" s="19">
        <f>SUM(F276:K276)</f>
        <v>28381.15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3000</v>
      </c>
      <c r="G282" s="18">
        <v>654.29999999999995</v>
      </c>
      <c r="H282" s="18">
        <v>1546.24</v>
      </c>
      <c r="I282" s="18">
        <v>0</v>
      </c>
      <c r="J282" s="18">
        <v>0</v>
      </c>
      <c r="K282" s="18">
        <v>0</v>
      </c>
      <c r="L282" s="19">
        <f t="shared" si="12"/>
        <v>5200.54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195.92</v>
      </c>
      <c r="L283" s="19">
        <f t="shared" si="12"/>
        <v>195.92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14999.31</v>
      </c>
      <c r="G290" s="42">
        <f t="shared" si="13"/>
        <v>1834.98</v>
      </c>
      <c r="H290" s="42">
        <f t="shared" si="13"/>
        <v>1546.24</v>
      </c>
      <c r="I290" s="42">
        <f t="shared" si="13"/>
        <v>86.24</v>
      </c>
      <c r="J290" s="42">
        <f t="shared" si="13"/>
        <v>0</v>
      </c>
      <c r="K290" s="42">
        <f t="shared" si="13"/>
        <v>15310.84</v>
      </c>
      <c r="L290" s="41">
        <f t="shared" si="13"/>
        <v>33777.61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>
        <v>0</v>
      </c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14999.31</v>
      </c>
      <c r="G338" s="41">
        <f t="shared" si="20"/>
        <v>1834.98</v>
      </c>
      <c r="H338" s="41">
        <f t="shared" si="20"/>
        <v>1546.24</v>
      </c>
      <c r="I338" s="41">
        <f t="shared" si="20"/>
        <v>86.24</v>
      </c>
      <c r="J338" s="41">
        <f t="shared" si="20"/>
        <v>0</v>
      </c>
      <c r="K338" s="41">
        <f t="shared" si="20"/>
        <v>15310.84</v>
      </c>
      <c r="L338" s="41">
        <f t="shared" si="20"/>
        <v>33777.61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14999.31</v>
      </c>
      <c r="G352" s="41">
        <f>G338</f>
        <v>1834.98</v>
      </c>
      <c r="H352" s="41">
        <f>H338</f>
        <v>1546.24</v>
      </c>
      <c r="I352" s="41">
        <f>I338</f>
        <v>86.24</v>
      </c>
      <c r="J352" s="41">
        <f>J338</f>
        <v>0</v>
      </c>
      <c r="K352" s="47">
        <f>K338+K351</f>
        <v>15310.84</v>
      </c>
      <c r="L352" s="41">
        <f>L338+L351</f>
        <v>33777.61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7945.96</v>
      </c>
      <c r="G358" s="18">
        <v>607.83000000000004</v>
      </c>
      <c r="H358" s="18">
        <v>27633.75</v>
      </c>
      <c r="I358" s="18">
        <v>721.74</v>
      </c>
      <c r="J358" s="18">
        <v>1102.68</v>
      </c>
      <c r="K358" s="18">
        <v>0</v>
      </c>
      <c r="L358" s="13">
        <f>SUM(F358:K358)</f>
        <v>38011.96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7945.96</v>
      </c>
      <c r="G362" s="47">
        <f t="shared" si="22"/>
        <v>607.83000000000004</v>
      </c>
      <c r="H362" s="47">
        <f t="shared" si="22"/>
        <v>27633.75</v>
      </c>
      <c r="I362" s="47">
        <f t="shared" si="22"/>
        <v>721.74</v>
      </c>
      <c r="J362" s="47">
        <f t="shared" si="22"/>
        <v>1102.68</v>
      </c>
      <c r="K362" s="47">
        <f t="shared" si="22"/>
        <v>0</v>
      </c>
      <c r="L362" s="47">
        <f t="shared" si="22"/>
        <v>38011.96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108.75</v>
      </c>
      <c r="G367" s="18"/>
      <c r="H367" s="18"/>
      <c r="I367" s="56">
        <f>SUM(F367:H367)</f>
        <v>108.75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612.99</v>
      </c>
      <c r="G368" s="63"/>
      <c r="H368" s="63"/>
      <c r="I368" s="56">
        <f>SUM(F368:H368)</f>
        <v>612.99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721.74</v>
      </c>
      <c r="G369" s="47">
        <f>SUM(G367:G368)</f>
        <v>0</v>
      </c>
      <c r="H369" s="47">
        <f>SUM(H367:H368)</f>
        <v>0</v>
      </c>
      <c r="I369" s="47">
        <f>SUM(I367:I368)</f>
        <v>721.74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200000</v>
      </c>
      <c r="H388" s="18"/>
      <c r="I388" s="18"/>
      <c r="J388" s="24" t="s">
        <v>289</v>
      </c>
      <c r="K388" s="24" t="s">
        <v>289</v>
      </c>
      <c r="L388" s="56">
        <f t="shared" si="25"/>
        <v>200000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200000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200000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0</v>
      </c>
      <c r="H396" s="18">
        <v>3024.05</v>
      </c>
      <c r="I396" s="18"/>
      <c r="J396" s="24" t="s">
        <v>289</v>
      </c>
      <c r="K396" s="24" t="s">
        <v>289</v>
      </c>
      <c r="L396" s="56">
        <f t="shared" si="26"/>
        <v>3024.05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63.44</v>
      </c>
      <c r="I398" s="18"/>
      <c r="J398" s="24" t="s">
        <v>289</v>
      </c>
      <c r="K398" s="24" t="s">
        <v>289</v>
      </c>
      <c r="L398" s="56">
        <f t="shared" si="26"/>
        <v>63.44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3087.4900000000002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3087.4900000000002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200000</v>
      </c>
      <c r="H408" s="47">
        <f>H393+H401+H407</f>
        <v>3087.4900000000002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203087.49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f>4976.96+0.3</f>
        <v>4977.26</v>
      </c>
      <c r="L422" s="56">
        <f t="shared" si="29"/>
        <v>4977.26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4977.26</v>
      </c>
      <c r="L427" s="47">
        <f t="shared" si="30"/>
        <v>4977.26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4977.26</v>
      </c>
      <c r="L434" s="47">
        <f t="shared" si="32"/>
        <v>4977.26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336929.09</v>
      </c>
      <c r="H439" s="18"/>
      <c r="I439" s="56">
        <f t="shared" ref="I439:I445" si="33">SUM(F439:H439)</f>
        <v>336929.09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336929.09</v>
      </c>
      <c r="H446" s="13">
        <f>SUM(H439:H445)</f>
        <v>0</v>
      </c>
      <c r="I446" s="13">
        <f>SUM(I439:I445)</f>
        <v>336929.09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336929.09</v>
      </c>
      <c r="H459" s="18"/>
      <c r="I459" s="56">
        <f t="shared" si="34"/>
        <v>336929.09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336929.09</v>
      </c>
      <c r="H460" s="83">
        <f>SUM(H454:H459)</f>
        <v>0</v>
      </c>
      <c r="I460" s="83">
        <f>SUM(I454:I459)</f>
        <v>336929.09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336929.09</v>
      </c>
      <c r="H461" s="42">
        <f>H452+H460</f>
        <v>0</v>
      </c>
      <c r="I461" s="42">
        <f>I452+I460</f>
        <v>336929.09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436163</v>
      </c>
      <c r="G465" s="18">
        <v>6322.43</v>
      </c>
      <c r="H465" s="18">
        <v>86.24</v>
      </c>
      <c r="I465" s="18">
        <v>0</v>
      </c>
      <c r="J465" s="18">
        <v>138818.85999999999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2500943.3199999998</v>
      </c>
      <c r="G468" s="18">
        <v>36661.449999999997</v>
      </c>
      <c r="H468" s="18">
        <v>33691.370000000003</v>
      </c>
      <c r="I468" s="18">
        <v>0</v>
      </c>
      <c r="J468" s="18">
        <v>203087.49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55183.22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2556126.54</v>
      </c>
      <c r="G470" s="53">
        <f>SUM(G468:G469)</f>
        <v>36661.449999999997</v>
      </c>
      <c r="H470" s="53">
        <f>SUM(H468:H469)</f>
        <v>33691.370000000003</v>
      </c>
      <c r="I470" s="53">
        <f>SUM(I468:I469)</f>
        <v>0</v>
      </c>
      <c r="J470" s="53">
        <f>SUM(J468:J469)</f>
        <v>203087.49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2657888.2200000002</v>
      </c>
      <c r="G472" s="18">
        <v>38011.96</v>
      </c>
      <c r="H472" s="18">
        <v>33777.61</v>
      </c>
      <c r="I472" s="18">
        <v>0</v>
      </c>
      <c r="J472" s="18">
        <v>4977.26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2657888.2200000002</v>
      </c>
      <c r="G474" s="53">
        <f>SUM(G472:G473)</f>
        <v>38011.96</v>
      </c>
      <c r="H474" s="53">
        <f>SUM(H472:H473)</f>
        <v>33777.61</v>
      </c>
      <c r="I474" s="53">
        <f>SUM(I472:I473)</f>
        <v>0</v>
      </c>
      <c r="J474" s="53">
        <f>SUM(J472:J473)</f>
        <v>4977.26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334401.31999999983</v>
      </c>
      <c r="G476" s="53">
        <f>(G465+G470)- G474</f>
        <v>4971.9199999999983</v>
      </c>
      <c r="H476" s="53">
        <f>(H465+H470)- H474</f>
        <v>0</v>
      </c>
      <c r="I476" s="53">
        <f>(I465+I470)- I474</f>
        <v>0</v>
      </c>
      <c r="J476" s="53">
        <f>(J465+J470)- J474</f>
        <v>336929.08999999997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95348.36</v>
      </c>
      <c r="G521" s="18">
        <v>14401.33</v>
      </c>
      <c r="H521" s="18">
        <v>12725.98</v>
      </c>
      <c r="I521" s="18">
        <v>732.84</v>
      </c>
      <c r="J521" s="18">
        <v>0</v>
      </c>
      <c r="K521" s="18">
        <v>4662.4799999999996</v>
      </c>
      <c r="L521" s="88">
        <f>SUM(F521:K521)</f>
        <v>127870.98999999999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0</v>
      </c>
      <c r="G522" s="18">
        <v>0</v>
      </c>
      <c r="H522" s="18">
        <v>184926.77</v>
      </c>
      <c r="I522" s="18">
        <v>0</v>
      </c>
      <c r="J522" s="18"/>
      <c r="K522" s="18">
        <v>0</v>
      </c>
      <c r="L522" s="88">
        <f>SUM(F522:K522)</f>
        <v>184926.77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0</v>
      </c>
      <c r="G523" s="18">
        <v>0</v>
      </c>
      <c r="H523" s="18">
        <v>307125.15999999997</v>
      </c>
      <c r="I523" s="18">
        <v>0</v>
      </c>
      <c r="J523" s="18">
        <v>0</v>
      </c>
      <c r="K523" s="18">
        <v>0</v>
      </c>
      <c r="L523" s="88">
        <f>SUM(F523:K523)</f>
        <v>307125.15999999997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95348.36</v>
      </c>
      <c r="G524" s="108">
        <f t="shared" ref="G524:L524" si="36">SUM(G521:G523)</f>
        <v>14401.33</v>
      </c>
      <c r="H524" s="108">
        <f t="shared" si="36"/>
        <v>504777.91</v>
      </c>
      <c r="I524" s="108">
        <f t="shared" si="36"/>
        <v>732.84</v>
      </c>
      <c r="J524" s="108">
        <f t="shared" si="36"/>
        <v>0</v>
      </c>
      <c r="K524" s="108">
        <f t="shared" si="36"/>
        <v>4662.4799999999996</v>
      </c>
      <c r="L524" s="89">
        <f t="shared" si="36"/>
        <v>619922.91999999993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21439</v>
      </c>
      <c r="G526" s="18">
        <v>1640.02</v>
      </c>
      <c r="H526" s="18">
        <v>43673.79</v>
      </c>
      <c r="I526" s="18">
        <v>515.67999999999995</v>
      </c>
      <c r="J526" s="18">
        <v>0</v>
      </c>
      <c r="K526" s="18">
        <v>0</v>
      </c>
      <c r="L526" s="88">
        <f>SUM(F526:K526)</f>
        <v>67268.489999999991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0</v>
      </c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21439</v>
      </c>
      <c r="G529" s="89">
        <f t="shared" ref="G529:L529" si="37">SUM(G526:G528)</f>
        <v>1640.02</v>
      </c>
      <c r="H529" s="89">
        <f t="shared" si="37"/>
        <v>43673.79</v>
      </c>
      <c r="I529" s="89">
        <f t="shared" si="37"/>
        <v>515.67999999999995</v>
      </c>
      <c r="J529" s="89">
        <f t="shared" si="37"/>
        <v>0</v>
      </c>
      <c r="K529" s="89">
        <f t="shared" si="37"/>
        <v>0</v>
      </c>
      <c r="L529" s="89">
        <f t="shared" si="37"/>
        <v>67268.489999999991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5425.7</v>
      </c>
      <c r="G531" s="18">
        <v>2102.86</v>
      </c>
      <c r="H531" s="18">
        <v>30.73</v>
      </c>
      <c r="I531" s="18"/>
      <c r="J531" s="18"/>
      <c r="K531" s="18">
        <v>117.62</v>
      </c>
      <c r="L531" s="88">
        <f>SUM(F531:K531)</f>
        <v>7676.9099999999989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2145.0500000000002</v>
      </c>
      <c r="G532" s="18">
        <v>831.37</v>
      </c>
      <c r="H532" s="18">
        <v>12.15</v>
      </c>
      <c r="I532" s="18"/>
      <c r="J532" s="18"/>
      <c r="K532" s="18"/>
      <c r="L532" s="88">
        <f>SUM(F532:K532)</f>
        <v>2988.57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5047.17</v>
      </c>
      <c r="G533" s="18">
        <v>1956.16</v>
      </c>
      <c r="H533" s="18">
        <v>28.59</v>
      </c>
      <c r="I533" s="18"/>
      <c r="J533" s="18"/>
      <c r="K533" s="18"/>
      <c r="L533" s="88">
        <f>SUM(F533:K533)</f>
        <v>7031.92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12617.92</v>
      </c>
      <c r="G534" s="89">
        <f t="shared" ref="G534:L534" si="38">SUM(G531:G533)</f>
        <v>4890.3900000000003</v>
      </c>
      <c r="H534" s="89">
        <f t="shared" si="38"/>
        <v>71.47</v>
      </c>
      <c r="I534" s="89">
        <f t="shared" si="38"/>
        <v>0</v>
      </c>
      <c r="J534" s="89">
        <f t="shared" si="38"/>
        <v>0</v>
      </c>
      <c r="K534" s="89">
        <f t="shared" si="38"/>
        <v>117.62</v>
      </c>
      <c r="L534" s="89">
        <f t="shared" si="38"/>
        <v>17697.400000000001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544.98</v>
      </c>
      <c r="I536" s="18"/>
      <c r="J536" s="18"/>
      <c r="K536" s="18"/>
      <c r="L536" s="88">
        <f>SUM(F536:K536)</f>
        <v>544.98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147.85</v>
      </c>
      <c r="I537" s="18"/>
      <c r="J537" s="18"/>
      <c r="K537" s="18"/>
      <c r="L537" s="88">
        <f>SUM(F537:K537)</f>
        <v>147.85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347.89</v>
      </c>
      <c r="I538" s="18"/>
      <c r="J538" s="18"/>
      <c r="K538" s="18"/>
      <c r="L538" s="88">
        <f>SUM(F538:K538)</f>
        <v>347.89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1040.72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1040.72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47489.5</v>
      </c>
      <c r="I541" s="18"/>
      <c r="J541" s="18"/>
      <c r="K541" s="18"/>
      <c r="L541" s="88">
        <f>SUM(F541:K541)</f>
        <v>47489.5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17023.41</v>
      </c>
      <c r="I542" s="18"/>
      <c r="J542" s="18"/>
      <c r="K542" s="18"/>
      <c r="L542" s="88">
        <f>SUM(F542:K542)</f>
        <v>17023.41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2024</v>
      </c>
      <c r="I543" s="18"/>
      <c r="J543" s="18"/>
      <c r="K543" s="18"/>
      <c r="L543" s="88">
        <f>SUM(F543:K543)</f>
        <v>2024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66536.91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66536.91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129405.28</v>
      </c>
      <c r="G545" s="89">
        <f t="shared" ref="G545:L545" si="41">G524+G529+G534+G539+G544</f>
        <v>20931.740000000002</v>
      </c>
      <c r="H545" s="89">
        <f t="shared" si="41"/>
        <v>616100.79999999993</v>
      </c>
      <c r="I545" s="89">
        <f t="shared" si="41"/>
        <v>1248.52</v>
      </c>
      <c r="J545" s="89">
        <f t="shared" si="41"/>
        <v>0</v>
      </c>
      <c r="K545" s="89">
        <f t="shared" si="41"/>
        <v>4780.0999999999995</v>
      </c>
      <c r="L545" s="89">
        <f t="shared" si="41"/>
        <v>772466.44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127870.98999999999</v>
      </c>
      <c r="G549" s="87">
        <f>L526</f>
        <v>67268.489999999991</v>
      </c>
      <c r="H549" s="87">
        <f>L531</f>
        <v>7676.9099999999989</v>
      </c>
      <c r="I549" s="87">
        <f>L536</f>
        <v>544.98</v>
      </c>
      <c r="J549" s="87">
        <f>L541</f>
        <v>47489.5</v>
      </c>
      <c r="K549" s="87">
        <f>SUM(F549:J549)</f>
        <v>250850.87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184926.77</v>
      </c>
      <c r="G550" s="87">
        <f>L527</f>
        <v>0</v>
      </c>
      <c r="H550" s="87">
        <f>L532</f>
        <v>2988.57</v>
      </c>
      <c r="I550" s="87">
        <f>L537</f>
        <v>147.85</v>
      </c>
      <c r="J550" s="87">
        <f>L542</f>
        <v>17023.41</v>
      </c>
      <c r="K550" s="87">
        <f>SUM(F550:J550)</f>
        <v>205086.6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307125.15999999997</v>
      </c>
      <c r="G551" s="87">
        <f>L528</f>
        <v>0</v>
      </c>
      <c r="H551" s="87">
        <f>L533</f>
        <v>7031.92</v>
      </c>
      <c r="I551" s="87">
        <f>L538</f>
        <v>347.89</v>
      </c>
      <c r="J551" s="87">
        <f>L543</f>
        <v>2024</v>
      </c>
      <c r="K551" s="87">
        <f>SUM(F551:J551)</f>
        <v>316528.96999999997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619922.91999999993</v>
      </c>
      <c r="G552" s="89">
        <f t="shared" si="42"/>
        <v>67268.489999999991</v>
      </c>
      <c r="H552" s="89">
        <f t="shared" si="42"/>
        <v>17697.400000000001</v>
      </c>
      <c r="I552" s="89">
        <f t="shared" si="42"/>
        <v>1040.72</v>
      </c>
      <c r="J552" s="89">
        <f t="shared" si="42"/>
        <v>66536.91</v>
      </c>
      <c r="K552" s="89">
        <f t="shared" si="42"/>
        <v>772466.44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/>
      <c r="K563" s="18">
        <v>0</v>
      </c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17365.009999999998</v>
      </c>
      <c r="G575" s="18">
        <v>304060.23</v>
      </c>
      <c r="H575" s="18">
        <v>372884.17</v>
      </c>
      <c r="I575" s="87">
        <f>SUM(F575:H575)</f>
        <v>694309.40999999992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0</v>
      </c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6643.15</v>
      </c>
      <c r="G579" s="18">
        <v>45723</v>
      </c>
      <c r="H579" s="18">
        <v>243214.1</v>
      </c>
      <c r="I579" s="87">
        <f t="shared" si="47"/>
        <v>295580.25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0</v>
      </c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0</v>
      </c>
      <c r="G582" s="18">
        <v>139203.76999999999</v>
      </c>
      <c r="H582" s="18">
        <v>63911.06</v>
      </c>
      <c r="I582" s="87">
        <f t="shared" si="47"/>
        <v>203114.83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31578.5</v>
      </c>
      <c r="I591" s="18">
        <v>12484.5</v>
      </c>
      <c r="J591" s="18">
        <v>29375.3</v>
      </c>
      <c r="K591" s="104">
        <f t="shared" ref="K591:K597" si="48">SUM(H591:J591)</f>
        <v>73438.3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47489.5</v>
      </c>
      <c r="I592" s="18">
        <v>17023.41</v>
      </c>
      <c r="J592" s="18">
        <v>2024</v>
      </c>
      <c r="K592" s="104">
        <f t="shared" si="48"/>
        <v>66536.91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>
        <v>0</v>
      </c>
      <c r="J594" s="18">
        <v>0</v>
      </c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1996.56</v>
      </c>
      <c r="I595" s="18">
        <v>0</v>
      </c>
      <c r="J595" s="18">
        <v>0</v>
      </c>
      <c r="K595" s="104">
        <f t="shared" si="48"/>
        <v>1996.56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81064.56</v>
      </c>
      <c r="I598" s="108">
        <f>SUM(I591:I597)</f>
        <v>29507.91</v>
      </c>
      <c r="J598" s="108">
        <f>SUM(J591:J597)</f>
        <v>31399.3</v>
      </c>
      <c r="K598" s="108">
        <f>SUM(K591:K597)</f>
        <v>141971.77000000002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13089.82</v>
      </c>
      <c r="I604" s="18">
        <v>0</v>
      </c>
      <c r="J604" s="18">
        <v>0</v>
      </c>
      <c r="K604" s="104">
        <f>SUM(H604:J604)</f>
        <v>13089.82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13089.82</v>
      </c>
      <c r="I605" s="108">
        <f>SUM(I602:I604)</f>
        <v>0</v>
      </c>
      <c r="J605" s="108">
        <f>SUM(J602:J604)</f>
        <v>0</v>
      </c>
      <c r="K605" s="108">
        <f>SUM(K602:K604)</f>
        <v>13089.82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4232.5</v>
      </c>
      <c r="G611" s="18">
        <v>323.81</v>
      </c>
      <c r="H611" s="18">
        <v>3539.25</v>
      </c>
      <c r="I611" s="18"/>
      <c r="J611" s="18"/>
      <c r="K611" s="18"/>
      <c r="L611" s="88">
        <f>SUM(F611:K611)</f>
        <v>8095.56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>
        <v>0</v>
      </c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4232.5</v>
      </c>
      <c r="G614" s="108">
        <f t="shared" si="49"/>
        <v>323.81</v>
      </c>
      <c r="H614" s="108">
        <f t="shared" si="49"/>
        <v>3539.25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8095.56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383735.71</v>
      </c>
      <c r="H617" s="109">
        <f>SUM(F52)</f>
        <v>383735.71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4971.92</v>
      </c>
      <c r="H618" s="109">
        <f>SUM(G52)</f>
        <v>4971.92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292.34999999999945</v>
      </c>
      <c r="H619" s="109">
        <f>SUM(H52)</f>
        <v>292.35000000000002</v>
      </c>
      <c r="I619" s="121" t="s">
        <v>893</v>
      </c>
      <c r="J619" s="109">
        <f>G619-H619</f>
        <v>-5.6843418860808015E-13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336929.09</v>
      </c>
      <c r="H621" s="109">
        <f>SUM(J52)</f>
        <v>336929.09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334401.32</v>
      </c>
      <c r="H622" s="109">
        <f>F476</f>
        <v>334401.31999999983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4971.92</v>
      </c>
      <c r="H623" s="109">
        <f>G476</f>
        <v>4971.9199999999983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336929.09</v>
      </c>
      <c r="H626" s="109">
        <f>J476</f>
        <v>336929.08999999997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2500943.3200000003</v>
      </c>
      <c r="H627" s="104">
        <f>SUM(F468)</f>
        <v>2500943.3199999998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36661.449999999997</v>
      </c>
      <c r="H628" s="104">
        <f>SUM(G468)</f>
        <v>36661.449999999997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33691.370000000003</v>
      </c>
      <c r="H629" s="104">
        <f>SUM(H468)</f>
        <v>33691.370000000003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203087.49</v>
      </c>
      <c r="H631" s="104">
        <f>SUM(J468)</f>
        <v>203087.49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2657888.2199999997</v>
      </c>
      <c r="H632" s="104">
        <f>SUM(F472)</f>
        <v>2657888.2200000002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33777.61</v>
      </c>
      <c r="H633" s="104">
        <f>SUM(H472)</f>
        <v>33777.61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721.74</v>
      </c>
      <c r="H634" s="104">
        <f>I369</f>
        <v>721.74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38011.96</v>
      </c>
      <c r="H635" s="104">
        <f>SUM(G472)</f>
        <v>38011.96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203087.49</v>
      </c>
      <c r="H637" s="164">
        <f>SUM(J468)</f>
        <v>203087.49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4977.26</v>
      </c>
      <c r="H638" s="164">
        <f>SUM(J472)</f>
        <v>4977.26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336929.09</v>
      </c>
      <c r="H640" s="104">
        <f>SUM(G461)</f>
        <v>336929.09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336929.09</v>
      </c>
      <c r="H642" s="104">
        <f>SUM(I461)</f>
        <v>336929.09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3087.49</v>
      </c>
      <c r="H644" s="104">
        <f>H408</f>
        <v>3087.4900000000002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200000</v>
      </c>
      <c r="H645" s="104">
        <f>G408</f>
        <v>200000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203087.49</v>
      </c>
      <c r="H646" s="104">
        <f>L408</f>
        <v>203087.49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141971.77000000002</v>
      </c>
      <c r="H647" s="104">
        <f>L208+L226+L244</f>
        <v>141971.76999999999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13089.82</v>
      </c>
      <c r="H648" s="104">
        <f>(J257+J338)-(J255+J336)</f>
        <v>13089.82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81064.56</v>
      </c>
      <c r="H649" s="104">
        <f>H598</f>
        <v>81064.56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29507.91</v>
      </c>
      <c r="H650" s="104">
        <f>I598</f>
        <v>29507.91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31399.3</v>
      </c>
      <c r="H651" s="104">
        <f>J598</f>
        <v>31399.3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200000</v>
      </c>
      <c r="H655" s="104">
        <f>K266+K347</f>
        <v>200000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1176216.8</v>
      </c>
      <c r="G660" s="19">
        <f>(L229+L309+L359)</f>
        <v>541924.36</v>
      </c>
      <c r="H660" s="19">
        <f>(L247+L328+L360)</f>
        <v>766536.63</v>
      </c>
      <c r="I660" s="19">
        <f>SUM(F660:H660)</f>
        <v>2484677.79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8642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8642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81064.56</v>
      </c>
      <c r="G662" s="19">
        <f>(L226+L306)-(J226+J306)</f>
        <v>29507.91</v>
      </c>
      <c r="H662" s="19">
        <f>(L244+L325)-(J244+J325)</f>
        <v>31399.3</v>
      </c>
      <c r="I662" s="19">
        <f>SUM(F662:H662)</f>
        <v>141971.76999999999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45193.539999999994</v>
      </c>
      <c r="G663" s="199">
        <f>SUM(G575:G587)+SUM(I602:I604)+L612</f>
        <v>488987</v>
      </c>
      <c r="H663" s="199">
        <f>SUM(H575:H587)+SUM(J602:J604)+L613</f>
        <v>680009.33000000007</v>
      </c>
      <c r="I663" s="19">
        <f>SUM(F663:H663)</f>
        <v>1214189.8700000001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1041316.7000000001</v>
      </c>
      <c r="G664" s="19">
        <f>G660-SUM(G661:G663)</f>
        <v>23429.450000000012</v>
      </c>
      <c r="H664" s="19">
        <f>H660-SUM(H661:H663)</f>
        <v>55127.999999999884</v>
      </c>
      <c r="I664" s="19">
        <f>I660-SUM(I661:I663)</f>
        <v>1119874.1499999999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77.5</v>
      </c>
      <c r="G665" s="248"/>
      <c r="H665" s="248"/>
      <c r="I665" s="19">
        <f>SUM(F665:H665)</f>
        <v>77.5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13436.34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14449.99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-23429.45</v>
      </c>
      <c r="H669" s="18">
        <v>-55128</v>
      </c>
      <c r="I669" s="19">
        <f>SUM(F669:H669)</f>
        <v>-78557.45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13436.34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13436.34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5" header="0.5" footer="0.5"/>
  <pageSetup scale="8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4" workbookViewId="0">
      <selection activeCell="E19" sqref="E1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STODDARD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271020.59000000003</v>
      </c>
      <c r="C9" s="229">
        <f>'DOE25'!G197+'DOE25'!G215+'DOE25'!G233+'DOE25'!G276+'DOE25'!G295+'DOE25'!G314</f>
        <v>86566</v>
      </c>
    </row>
    <row r="10" spans="1:3" x14ac:dyDescent="0.2">
      <c r="A10" t="s">
        <v>779</v>
      </c>
      <c r="B10" s="240">
        <v>197683.8</v>
      </c>
      <c r="C10" s="240">
        <v>80307.17</v>
      </c>
    </row>
    <row r="11" spans="1:3" x14ac:dyDescent="0.2">
      <c r="A11" t="s">
        <v>780</v>
      </c>
      <c r="B11" s="240">
        <v>61246.79</v>
      </c>
      <c r="C11" s="240">
        <v>5334.11</v>
      </c>
    </row>
    <row r="12" spans="1:3" x14ac:dyDescent="0.2">
      <c r="A12" t="s">
        <v>781</v>
      </c>
      <c r="B12" s="240">
        <v>12090</v>
      </c>
      <c r="C12" s="240">
        <v>924.72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271020.58999999997</v>
      </c>
      <c r="C13" s="231">
        <f>SUM(C10:C12)</f>
        <v>86566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95348.36</v>
      </c>
      <c r="C18" s="229">
        <f>'DOE25'!G198+'DOE25'!G216+'DOE25'!G234+'DOE25'!G277+'DOE25'!G296+'DOE25'!G315</f>
        <v>14401.33</v>
      </c>
    </row>
    <row r="19" spans="1:3" x14ac:dyDescent="0.2">
      <c r="A19" t="s">
        <v>779</v>
      </c>
      <c r="B19" s="240">
        <v>64968.4</v>
      </c>
      <c r="C19" s="240">
        <v>12363.6</v>
      </c>
    </row>
    <row r="20" spans="1:3" x14ac:dyDescent="0.2">
      <c r="A20" t="s">
        <v>780</v>
      </c>
      <c r="B20" s="240">
        <v>30379.96</v>
      </c>
      <c r="C20" s="240">
        <v>2037.73</v>
      </c>
    </row>
    <row r="21" spans="1:3" x14ac:dyDescent="0.2">
      <c r="A21" t="s">
        <v>781</v>
      </c>
      <c r="B21" s="240">
        <v>0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95348.36</v>
      </c>
      <c r="C22" s="231">
        <f>SUM(C19:C21)</f>
        <v>14401.33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STODDARD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1691448.98</v>
      </c>
      <c r="D5" s="20">
        <f>SUM('DOE25'!L197:L200)+SUM('DOE25'!L215:L218)+SUM('DOE25'!L233:L236)-F5-G5</f>
        <v>1677571.5399999998</v>
      </c>
      <c r="E5" s="243"/>
      <c r="F5" s="255">
        <f>SUM('DOE25'!J197:J200)+SUM('DOE25'!J215:J218)+SUM('DOE25'!J233:J236)</f>
        <v>6401.61</v>
      </c>
      <c r="G5" s="53">
        <f>SUM('DOE25'!K197:K200)+SUM('DOE25'!K215:K218)+SUM('DOE25'!K233:K236)</f>
        <v>7475.83</v>
      </c>
      <c r="H5" s="259"/>
    </row>
    <row r="6" spans="1:9" x14ac:dyDescent="0.2">
      <c r="A6" s="32">
        <v>2100</v>
      </c>
      <c r="B6" t="s">
        <v>801</v>
      </c>
      <c r="C6" s="245">
        <f t="shared" si="0"/>
        <v>71033.91</v>
      </c>
      <c r="D6" s="20">
        <f>'DOE25'!L202+'DOE25'!L220+'DOE25'!L238-F6-G6</f>
        <v>71033.91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25898.14</v>
      </c>
      <c r="D7" s="20">
        <f>'DOE25'!L203+'DOE25'!L221+'DOE25'!L239-F7-G7</f>
        <v>24439.84</v>
      </c>
      <c r="E7" s="243"/>
      <c r="F7" s="255">
        <f>'DOE25'!J203+'DOE25'!J221+'DOE25'!J239</f>
        <v>1033.3</v>
      </c>
      <c r="G7" s="53">
        <f>'DOE25'!K203+'DOE25'!K221+'DOE25'!K239</f>
        <v>425</v>
      </c>
      <c r="H7" s="259"/>
    </row>
    <row r="8" spans="1:9" x14ac:dyDescent="0.2">
      <c r="A8" s="32">
        <v>2300</v>
      </c>
      <c r="B8" t="s">
        <v>802</v>
      </c>
      <c r="C8" s="245">
        <f t="shared" si="0"/>
        <v>98680.87999999999</v>
      </c>
      <c r="D8" s="243"/>
      <c r="E8" s="20">
        <f>'DOE25'!L204+'DOE25'!L222+'DOE25'!L240-F8-G8-D9-D11</f>
        <v>96350.15</v>
      </c>
      <c r="F8" s="255">
        <f>'DOE25'!J204+'DOE25'!J222+'DOE25'!J240</f>
        <v>0</v>
      </c>
      <c r="G8" s="53">
        <f>'DOE25'!K204+'DOE25'!K222+'DOE25'!K240</f>
        <v>2330.7299999999996</v>
      </c>
      <c r="H8" s="259"/>
    </row>
    <row r="9" spans="1:9" x14ac:dyDescent="0.2">
      <c r="A9" s="32">
        <v>2310</v>
      </c>
      <c r="B9" t="s">
        <v>818</v>
      </c>
      <c r="C9" s="245">
        <f t="shared" si="0"/>
        <v>14780.96</v>
      </c>
      <c r="D9" s="244">
        <v>14780.96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3650</v>
      </c>
      <c r="D10" s="243"/>
      <c r="E10" s="244">
        <v>3650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38746.379999999997</v>
      </c>
      <c r="D11" s="244">
        <v>38746.379999999997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142097.79999999999</v>
      </c>
      <c r="D12" s="20">
        <f>'DOE25'!L205+'DOE25'!L223+'DOE25'!L241-F12-G12</f>
        <v>141862.79999999999</v>
      </c>
      <c r="E12" s="243"/>
      <c r="F12" s="255">
        <f>'DOE25'!J205+'DOE25'!J223+'DOE25'!J241</f>
        <v>0</v>
      </c>
      <c r="G12" s="53">
        <f>'DOE25'!K205+'DOE25'!K223+'DOE25'!K241</f>
        <v>235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188229.4</v>
      </c>
      <c r="D14" s="20">
        <f>'DOE25'!L207+'DOE25'!L225+'DOE25'!L243-F14-G14</f>
        <v>182574.49</v>
      </c>
      <c r="E14" s="243"/>
      <c r="F14" s="255">
        <f>'DOE25'!J207+'DOE25'!J225+'DOE25'!J243</f>
        <v>5654.91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141971.76999999999</v>
      </c>
      <c r="D15" s="20">
        <f>'DOE25'!L208+'DOE25'!L226+'DOE25'!L244-F15-G15</f>
        <v>141971.76999999999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45000</v>
      </c>
      <c r="D22" s="243"/>
      <c r="E22" s="243"/>
      <c r="F22" s="255">
        <f>'DOE25'!L255+'DOE25'!L336</f>
        <v>45000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37903.21</v>
      </c>
      <c r="D29" s="20">
        <f>'DOE25'!L358+'DOE25'!L359+'DOE25'!L360-'DOE25'!I367-F29-G29</f>
        <v>36800.53</v>
      </c>
      <c r="E29" s="243"/>
      <c r="F29" s="255">
        <f>'DOE25'!J358+'DOE25'!J359+'DOE25'!J360</f>
        <v>1102.68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33777.61</v>
      </c>
      <c r="D31" s="20">
        <f>'DOE25'!L290+'DOE25'!L309+'DOE25'!L328+'DOE25'!L333+'DOE25'!L334+'DOE25'!L335-F31-G31</f>
        <v>18466.77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15310.84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2348248.9899999998</v>
      </c>
      <c r="E33" s="246">
        <f>SUM(E5:E31)</f>
        <v>100000.15</v>
      </c>
      <c r="F33" s="246">
        <f>SUM(F5:F31)</f>
        <v>59192.5</v>
      </c>
      <c r="G33" s="246">
        <f>SUM(G5:G31)</f>
        <v>25777.4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100000.15</v>
      </c>
      <c r="E35" s="249"/>
    </row>
    <row r="36" spans="2:8" ht="12" thickTop="1" x14ac:dyDescent="0.2">
      <c r="B36" t="s">
        <v>815</v>
      </c>
      <c r="D36" s="20">
        <f>D33</f>
        <v>2348248.9899999998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STODDARD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377610.02</v>
      </c>
      <c r="D8" s="95">
        <f>'DOE25'!G9</f>
        <v>4138.88</v>
      </c>
      <c r="E8" s="95">
        <f>'DOE25'!H9</f>
        <v>-4535.1000000000004</v>
      </c>
      <c r="F8" s="95">
        <f>'DOE25'!I9</f>
        <v>0</v>
      </c>
      <c r="G8" s="95">
        <f>'DOE25'!J9</f>
        <v>336929.09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2843.05</v>
      </c>
      <c r="D12" s="95">
        <f>'DOE25'!G13</f>
        <v>833.04</v>
      </c>
      <c r="E12" s="95">
        <f>'DOE25'!H13</f>
        <v>4827.45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3282.64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383735.71</v>
      </c>
      <c r="D18" s="41">
        <f>SUM(D8:D17)</f>
        <v>4971.92</v>
      </c>
      <c r="E18" s="41">
        <f>SUM(E8:E17)</f>
        <v>292.34999999999945</v>
      </c>
      <c r="F18" s="41">
        <f>SUM(F8:F17)</f>
        <v>0</v>
      </c>
      <c r="G18" s="41">
        <f>SUM(G8:G17)</f>
        <v>336929.09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1713.84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292.35000000000002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1350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44920.5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1350.05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49334.39</v>
      </c>
      <c r="D31" s="41">
        <f>SUM(D21:D30)</f>
        <v>0</v>
      </c>
      <c r="E31" s="41">
        <f>SUM(E21:E30)</f>
        <v>292.35000000000002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4971.92</v>
      </c>
      <c r="E47" s="95">
        <f>'DOE25'!H48</f>
        <v>0</v>
      </c>
      <c r="F47" s="95">
        <f>'DOE25'!I48</f>
        <v>0</v>
      </c>
      <c r="G47" s="95">
        <f>'DOE25'!J48</f>
        <v>336929.09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234401.32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334401.32</v>
      </c>
      <c r="D50" s="41">
        <f>SUM(D34:D49)</f>
        <v>4971.92</v>
      </c>
      <c r="E50" s="41">
        <f>SUM(E34:E49)</f>
        <v>0</v>
      </c>
      <c r="F50" s="41">
        <f>SUM(F34:F49)</f>
        <v>0</v>
      </c>
      <c r="G50" s="41">
        <f>SUM(G34:G49)</f>
        <v>336929.09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383735.71</v>
      </c>
      <c r="D51" s="41">
        <f>D50+D31</f>
        <v>4971.92</v>
      </c>
      <c r="E51" s="41">
        <f>E50+E31</f>
        <v>292.35000000000002</v>
      </c>
      <c r="F51" s="41">
        <f>F50+F31</f>
        <v>0</v>
      </c>
      <c r="G51" s="41">
        <f>G50+G31</f>
        <v>336929.09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1741584</v>
      </c>
      <c r="D56" s="95">
        <f>'DOE25'!G60</f>
        <v>18342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3087.49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8642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31027.690000000002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31027.690000000002</v>
      </c>
      <c r="D62" s="130">
        <f>SUM(D57:D61)</f>
        <v>8642</v>
      </c>
      <c r="E62" s="130">
        <f>SUM(E57:E61)</f>
        <v>0</v>
      </c>
      <c r="F62" s="130">
        <f>SUM(F57:F61)</f>
        <v>0</v>
      </c>
      <c r="G62" s="130">
        <f>SUM(G57:G61)</f>
        <v>3087.49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1772611.69</v>
      </c>
      <c r="D63" s="22">
        <f>D56+D62</f>
        <v>26984</v>
      </c>
      <c r="E63" s="22">
        <f>E56+E62</f>
        <v>0</v>
      </c>
      <c r="F63" s="22">
        <f>F56+F62</f>
        <v>0</v>
      </c>
      <c r="G63" s="22">
        <f>G56+G62</f>
        <v>3087.49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630406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630406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73919.55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223.11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73919.55</v>
      </c>
      <c r="D78" s="130">
        <f>SUM(D72:D77)</f>
        <v>223.11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704325.55</v>
      </c>
      <c r="D81" s="130">
        <f>SUM(D79:D80)+D78+D70</f>
        <v>223.11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24006.080000000002</v>
      </c>
      <c r="D88" s="95">
        <f>SUM('DOE25'!G153:G161)</f>
        <v>9454.34</v>
      </c>
      <c r="E88" s="95">
        <f>SUM('DOE25'!H153:H161)</f>
        <v>33691.370000000003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24006.080000000002</v>
      </c>
      <c r="D91" s="131">
        <f>SUM(D85:D90)</f>
        <v>9454.34</v>
      </c>
      <c r="E91" s="131">
        <f>SUM(E85:E90)</f>
        <v>33691.370000000003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200000</v>
      </c>
    </row>
    <row r="104" spans="1:7" ht="12.75" thickTop="1" thickBot="1" x14ac:dyDescent="0.25">
      <c r="A104" s="33" t="s">
        <v>765</v>
      </c>
      <c r="C104" s="86">
        <f>C63+C81+C91+C103</f>
        <v>2500943.3200000003</v>
      </c>
      <c r="D104" s="86">
        <f>D63+D81+D91+D103</f>
        <v>36661.449999999997</v>
      </c>
      <c r="E104" s="86">
        <f>E63+E81+E91+E103</f>
        <v>33691.370000000003</v>
      </c>
      <c r="F104" s="86">
        <f>F63+F81+F91+F103</f>
        <v>0</v>
      </c>
      <c r="G104" s="86">
        <f>G63+G81+G103</f>
        <v>203087.49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1070555.3099999998</v>
      </c>
      <c r="D109" s="24" t="s">
        <v>289</v>
      </c>
      <c r="E109" s="95">
        <f>('DOE25'!L276)+('DOE25'!L295)+('DOE25'!L314)</f>
        <v>28381.15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619922.91999999993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970.75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1691448.9799999997</v>
      </c>
      <c r="D115" s="86">
        <f>SUM(D109:D114)</f>
        <v>0</v>
      </c>
      <c r="E115" s="86">
        <f>SUM(E109:E114)</f>
        <v>28381.15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71033.91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25898.14</v>
      </c>
      <c r="D119" s="24" t="s">
        <v>289</v>
      </c>
      <c r="E119" s="95">
        <f>+('DOE25'!L282)+('DOE25'!L301)+('DOE25'!L320)</f>
        <v>5200.54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152208.22</v>
      </c>
      <c r="D120" s="24" t="s">
        <v>289</v>
      </c>
      <c r="E120" s="95">
        <f>+('DOE25'!L283)+('DOE25'!L302)+('DOE25'!L321)</f>
        <v>195.92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142097.79999999999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188229.4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141971.76999999999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38011.96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721439.24</v>
      </c>
      <c r="D128" s="86">
        <f>SUM(D118:D127)</f>
        <v>38011.96</v>
      </c>
      <c r="E128" s="86">
        <f>SUM(E118:E127)</f>
        <v>5396.46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45000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4977.26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200000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3087.4900000000002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-3087.4899999999907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245000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4977.26</v>
      </c>
    </row>
    <row r="145" spans="1:9" ht="12.75" thickTop="1" thickBot="1" x14ac:dyDescent="0.25">
      <c r="A145" s="33" t="s">
        <v>244</v>
      </c>
      <c r="C145" s="86">
        <f>(C115+C128+C144)</f>
        <v>2657888.2199999997</v>
      </c>
      <c r="D145" s="86">
        <f>(D115+D128+D144)</f>
        <v>38011.96</v>
      </c>
      <c r="E145" s="86">
        <f>(E115+E128+E144)</f>
        <v>33777.61</v>
      </c>
      <c r="F145" s="86">
        <f>(F115+F128+F144)</f>
        <v>0</v>
      </c>
      <c r="G145" s="86">
        <f>(G115+G128+G144)</f>
        <v>4977.26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STODDARD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13436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13436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1098936</v>
      </c>
      <c r="D10" s="182">
        <f>ROUND((C10/$C$28)*100,1)</f>
        <v>44.4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619923</v>
      </c>
      <c r="D11" s="182">
        <f>ROUND((C11/$C$28)*100,1)</f>
        <v>25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971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71034</v>
      </c>
      <c r="D15" s="182">
        <f t="shared" ref="D15:D27" si="0">ROUND((C15/$C$28)*100,1)</f>
        <v>2.9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31099</v>
      </c>
      <c r="D16" s="182">
        <f t="shared" si="0"/>
        <v>1.3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152404</v>
      </c>
      <c r="D17" s="182">
        <f t="shared" si="0"/>
        <v>6.2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142098</v>
      </c>
      <c r="D18" s="182">
        <f t="shared" si="0"/>
        <v>5.7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188229</v>
      </c>
      <c r="D20" s="182">
        <f t="shared" si="0"/>
        <v>7.6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141972</v>
      </c>
      <c r="D21" s="182">
        <f t="shared" si="0"/>
        <v>5.7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29370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2476036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45000</v>
      </c>
    </row>
    <row r="30" spans="1:4" x14ac:dyDescent="0.2">
      <c r="B30" s="187" t="s">
        <v>729</v>
      </c>
      <c r="C30" s="180">
        <f>SUM(C28:C29)</f>
        <v>2521036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1759926</v>
      </c>
      <c r="D35" s="182">
        <f t="shared" ref="D35:D40" si="1">ROUND((C35/$C$41)*100,1)</f>
        <v>68.599999999999994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34115.179999999935</v>
      </c>
      <c r="D36" s="182">
        <f t="shared" si="1"/>
        <v>1.3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630406</v>
      </c>
      <c r="D37" s="182">
        <f t="shared" si="1"/>
        <v>24.6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74143</v>
      </c>
      <c r="D38" s="182">
        <f t="shared" si="1"/>
        <v>2.9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67152</v>
      </c>
      <c r="D39" s="182">
        <f t="shared" si="1"/>
        <v>2.6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2565742.1799999997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STODDARD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2015-08-05T19:06:52Z</cp:lastPrinted>
  <dcterms:created xsi:type="dcterms:W3CDTF">1997-12-04T19:04:30Z</dcterms:created>
  <dcterms:modified xsi:type="dcterms:W3CDTF">2015-08-25T17:40:09Z</dcterms:modified>
</cp:coreProperties>
</file>