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10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611" i="1" l="1"/>
  <c r="F611" i="1"/>
  <c r="F24" i="1" l="1"/>
  <c r="D9" i="13" l="1"/>
  <c r="G48" i="1"/>
  <c r="B21" i="12"/>
  <c r="C11" i="12"/>
  <c r="B12" i="12"/>
  <c r="F49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C125" i="2" s="1"/>
  <c r="L227" i="1"/>
  <c r="L245" i="1"/>
  <c r="F5" i="13"/>
  <c r="G5" i="13"/>
  <c r="L197" i="1"/>
  <c r="L198" i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D15" i="13" s="1"/>
  <c r="C15" i="13" s="1"/>
  <c r="L208" i="1"/>
  <c r="L226" i="1"/>
  <c r="L244" i="1"/>
  <c r="C21" i="10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I147" i="1"/>
  <c r="I169" i="1" s="1"/>
  <c r="I162" i="1"/>
  <c r="C19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F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5" i="2" s="1"/>
  <c r="E111" i="2"/>
  <c r="E112" i="2"/>
  <c r="C113" i="2"/>
  <c r="E113" i="2"/>
  <c r="E114" i="2"/>
  <c r="D115" i="2"/>
  <c r="F115" i="2"/>
  <c r="G115" i="2"/>
  <c r="E118" i="2"/>
  <c r="E119" i="2"/>
  <c r="E128" i="2" s="1"/>
  <c r="E120" i="2"/>
  <c r="C121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G461" i="1"/>
  <c r="H461" i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I476" i="1" s="1"/>
  <c r="H625" i="1" s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H640" i="1"/>
  <c r="G641" i="1"/>
  <c r="J641" i="1" s="1"/>
  <c r="G643" i="1"/>
  <c r="J643" i="1" s="1"/>
  <c r="H643" i="1"/>
  <c r="G644" i="1"/>
  <c r="H644" i="1"/>
  <c r="G645" i="1"/>
  <c r="H647" i="1"/>
  <c r="G649" i="1"/>
  <c r="G650" i="1"/>
  <c r="G651" i="1"/>
  <c r="J651" i="1" s="1"/>
  <c r="G652" i="1"/>
  <c r="H652" i="1"/>
  <c r="G653" i="1"/>
  <c r="H653" i="1"/>
  <c r="G654" i="1"/>
  <c r="H654" i="1"/>
  <c r="H655" i="1"/>
  <c r="J655" i="1" s="1"/>
  <c r="L256" i="1"/>
  <c r="C26" i="10"/>
  <c r="L328" i="1"/>
  <c r="L351" i="1"/>
  <c r="L290" i="1"/>
  <c r="C70" i="2"/>
  <c r="D62" i="2"/>
  <c r="D18" i="13"/>
  <c r="C18" i="13" s="1"/>
  <c r="D7" i="13"/>
  <c r="C7" i="13" s="1"/>
  <c r="D17" i="13"/>
  <c r="C17" i="13" s="1"/>
  <c r="F78" i="2"/>
  <c r="F81" i="2" s="1"/>
  <c r="C78" i="2"/>
  <c r="F18" i="2"/>
  <c r="E103" i="2"/>
  <c r="E62" i="2"/>
  <c r="E63" i="2" s="1"/>
  <c r="G62" i="2"/>
  <c r="D29" i="13"/>
  <c r="C29" i="13" s="1"/>
  <c r="D19" i="13"/>
  <c r="C19" i="13" s="1"/>
  <c r="E78" i="2"/>
  <c r="E81" i="2" s="1"/>
  <c r="F112" i="1"/>
  <c r="J571" i="1"/>
  <c r="L433" i="1"/>
  <c r="D81" i="2"/>
  <c r="H169" i="1"/>
  <c r="J644" i="1"/>
  <c r="J140" i="1"/>
  <c r="F571" i="1"/>
  <c r="I552" i="1"/>
  <c r="G22" i="2"/>
  <c r="K545" i="1"/>
  <c r="H140" i="1"/>
  <c r="L401" i="1"/>
  <c r="C139" i="2" s="1"/>
  <c r="L393" i="1"/>
  <c r="F22" i="13"/>
  <c r="J640" i="1"/>
  <c r="H571" i="1"/>
  <c r="J545" i="1"/>
  <c r="H338" i="1"/>
  <c r="H352" i="1" s="1"/>
  <c r="F338" i="1"/>
  <c r="F352" i="1" s="1"/>
  <c r="H192" i="1"/>
  <c r="C35" i="10"/>
  <c r="L309" i="1"/>
  <c r="I571" i="1"/>
  <c r="J636" i="1"/>
  <c r="G36" i="2"/>
  <c r="L565" i="1"/>
  <c r="K551" i="1"/>
  <c r="C22" i="13"/>
  <c r="C138" i="2"/>
  <c r="D31" i="2" l="1"/>
  <c r="J622" i="1"/>
  <c r="J625" i="1"/>
  <c r="J639" i="1"/>
  <c r="D18" i="2"/>
  <c r="C18" i="2"/>
  <c r="K598" i="1"/>
  <c r="G647" i="1" s="1"/>
  <c r="J649" i="1"/>
  <c r="H545" i="1"/>
  <c r="K549" i="1"/>
  <c r="K552" i="1" s="1"/>
  <c r="K503" i="1"/>
  <c r="F661" i="1"/>
  <c r="D127" i="2"/>
  <c r="D128" i="2" s="1"/>
  <c r="D145" i="2" s="1"/>
  <c r="G661" i="1"/>
  <c r="L362" i="1"/>
  <c r="C27" i="10" s="1"/>
  <c r="H25" i="13"/>
  <c r="C32" i="10"/>
  <c r="H662" i="1"/>
  <c r="E8" i="13"/>
  <c r="C8" i="13" s="1"/>
  <c r="K257" i="1"/>
  <c r="K271" i="1" s="1"/>
  <c r="J257" i="1"/>
  <c r="J271" i="1" s="1"/>
  <c r="I257" i="1"/>
  <c r="I271" i="1" s="1"/>
  <c r="G257" i="1"/>
  <c r="G271" i="1" s="1"/>
  <c r="F257" i="1"/>
  <c r="F271" i="1" s="1"/>
  <c r="C120" i="2"/>
  <c r="C17" i="10"/>
  <c r="C110" i="2"/>
  <c r="H257" i="1"/>
  <c r="H271" i="1" s="1"/>
  <c r="C10" i="10"/>
  <c r="L247" i="1"/>
  <c r="H660" i="1" s="1"/>
  <c r="H664" i="1" s="1"/>
  <c r="D14" i="13"/>
  <c r="C14" i="13" s="1"/>
  <c r="E13" i="13"/>
  <c r="C13" i="13" s="1"/>
  <c r="D12" i="13"/>
  <c r="C12" i="13" s="1"/>
  <c r="D6" i="13"/>
  <c r="C6" i="13" s="1"/>
  <c r="C118" i="2"/>
  <c r="C122" i="2"/>
  <c r="C12" i="10"/>
  <c r="C11" i="10"/>
  <c r="J647" i="1"/>
  <c r="D5" i="13"/>
  <c r="C5" i="13" s="1"/>
  <c r="C124" i="2"/>
  <c r="C20" i="10"/>
  <c r="A31" i="12"/>
  <c r="J645" i="1"/>
  <c r="C91" i="2"/>
  <c r="D91" i="2"/>
  <c r="H476" i="1"/>
  <c r="H624" i="1" s="1"/>
  <c r="G476" i="1"/>
  <c r="H623" i="1" s="1"/>
  <c r="J623" i="1" s="1"/>
  <c r="J624" i="1"/>
  <c r="J617" i="1"/>
  <c r="C16" i="13"/>
  <c r="K550" i="1"/>
  <c r="C81" i="2"/>
  <c r="D63" i="2"/>
  <c r="G624" i="1"/>
  <c r="L534" i="1"/>
  <c r="K500" i="1"/>
  <c r="I460" i="1"/>
  <c r="I452" i="1"/>
  <c r="I446" i="1"/>
  <c r="G642" i="1" s="1"/>
  <c r="C123" i="2"/>
  <c r="C119" i="2"/>
  <c r="C112" i="2"/>
  <c r="C115" i="2" s="1"/>
  <c r="F85" i="2"/>
  <c r="F91" i="2" s="1"/>
  <c r="F104" i="2" s="1"/>
  <c r="L211" i="1"/>
  <c r="F660" i="1" s="1"/>
  <c r="G81" i="2"/>
  <c r="C62" i="2"/>
  <c r="C63" i="2" s="1"/>
  <c r="G662" i="1"/>
  <c r="C15" i="10"/>
  <c r="G112" i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F664" i="1" l="1"/>
  <c r="F672" i="1" s="1"/>
  <c r="C4" i="10" s="1"/>
  <c r="I661" i="1"/>
  <c r="G635" i="1"/>
  <c r="J635" i="1" s="1"/>
  <c r="C25" i="13"/>
  <c r="H33" i="13"/>
  <c r="I662" i="1"/>
  <c r="E33" i="13"/>
  <c r="D35" i="13" s="1"/>
  <c r="H648" i="1"/>
  <c r="J648" i="1" s="1"/>
  <c r="H672" i="1"/>
  <c r="C6" i="10" s="1"/>
  <c r="H667" i="1"/>
  <c r="C128" i="2"/>
  <c r="C145" i="2" s="1"/>
  <c r="C28" i="10"/>
  <c r="D19" i="10" s="1"/>
  <c r="L257" i="1"/>
  <c r="L271" i="1" s="1"/>
  <c r="G632" i="1" s="1"/>
  <c r="J632" i="1" s="1"/>
  <c r="I660" i="1"/>
  <c r="I664" i="1" s="1"/>
  <c r="I672" i="1" s="1"/>
  <c r="C7" i="10" s="1"/>
  <c r="C104" i="2"/>
  <c r="F33" i="13"/>
  <c r="G104" i="2"/>
  <c r="L545" i="1"/>
  <c r="L408" i="1"/>
  <c r="I461" i="1"/>
  <c r="H642" i="1" s="1"/>
  <c r="J642" i="1" s="1"/>
  <c r="G664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7" i="1" l="1"/>
  <c r="D23" i="10"/>
  <c r="D11" i="10"/>
  <c r="D24" i="10"/>
  <c r="D27" i="10"/>
  <c r="D18" i="10"/>
  <c r="D22" i="10"/>
  <c r="C30" i="10"/>
  <c r="D10" i="10"/>
  <c r="D21" i="10"/>
  <c r="D26" i="10"/>
  <c r="D12" i="10"/>
  <c r="D13" i="10"/>
  <c r="D17" i="10"/>
  <c r="D16" i="10"/>
  <c r="D20" i="10"/>
  <c r="D15" i="10"/>
  <c r="D25" i="10"/>
  <c r="G667" i="1"/>
  <c r="G672" i="1"/>
  <c r="C5" i="10" s="1"/>
  <c r="G637" i="1"/>
  <c r="J637" i="1" s="1"/>
  <c r="H646" i="1"/>
  <c r="J646" i="1" s="1"/>
  <c r="I667" i="1"/>
  <c r="C41" i="10"/>
  <c r="D38" i="10" s="1"/>
  <c r="D28" i="10" l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<sst xmlns="http://schemas.openxmlformats.org/spreadsheetml/2006/main" count="3957" uniqueCount="915">
  <si>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</si>
  <si>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</si>
  <si>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</si>
  <si>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</si>
  <si>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</si>
  <si>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</si>
  <si>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</si>
  <si>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</si>
  <si>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</si>
  <si>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</si>
  <si>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</si>
  <si>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</si>
  <si>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</si>
  <si>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</si>
  <si>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</si>
  <si>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</si>
  <si>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</si>
  <si>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</si>
  <si>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</si>
  <si>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</si>
  <si>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</si>
  <si>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</si>
  <si>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</si>
  <si>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</si>
  <si>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</si>
  <si>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</si>
  <si>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</si>
  <si>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</si>
  <si>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</si>
  <si>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</si>
  <si>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</si>
  <si>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</si>
  <si>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</si>
  <si>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</si>
  <si>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</si>
  <si>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</si>
  <si>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</si>
  <si>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</si>
  <si>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</si>
  <si>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</si>
  <si>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</si>
  <si>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</si>
  <si>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</si>
  <si>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</si>
  <si>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</si>
  <si>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</si>
  <si>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</si>
  <si>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</si>
  <si>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</si>
  <si>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</si>
  <si>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</si>
  <si>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</si>
  <si>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</si>
  <si>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</si>
  <si>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</si>
  <si>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</si>
  <si>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</si>
  <si>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</si>
  <si>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</si>
  <si>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</si>
  <si>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</si>
  <si>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</si>
  <si>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</si>
  <si>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</si>
  <si>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</si>
  <si>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</si>
  <si>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</si>
  <si>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</si>
  <si>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</si>
  <si>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</si>
  <si>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</si>
  <si>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</si>
  <si>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</si>
  <si>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</si>
  <si>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</si>
  <si>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</si>
  <si>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</si>
  <si>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</si>
  <si>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</si>
  <si>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</si>
  <si>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</si>
  <si>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</si>
  <si>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</si>
  <si>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</si>
  <si>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</si>
  <si>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</si>
  <si>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</si>
  <si>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</si>
  <si>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</si>
  <si>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</si>
  <si>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</si>
  <si>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</si>
  <si>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</si>
  <si>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</si>
  <si>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</si>
  <si>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</si>
  <si>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</si>
  <si>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</si>
  <si>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</si>
  <si>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</si>
  <si>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</si>
  <si>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</si>
  <si>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</si>
  <si>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</si>
  <si>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</si>
  <si>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</si>
  <si>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</si>
  <si>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</si>
  <si>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</si>
  <si>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</si>
  <si>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</si>
  <si>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</si>
  <si>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</si>
  <si>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</si>
  <si>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</si>
  <si>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</si>
  <si>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</si>
  <si>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</si>
  <si>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</si>
  <si>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</si>
  <si>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</si>
  <si>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</si>
  <si>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</si>
  <si>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</si>
  <si>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</si>
  <si>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</si>
  <si>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</si>
  <si>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</si>
  <si>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</si>
  <si>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</si>
  <si>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</si>
  <si>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</si>
  <si>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</si>
  <si>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</si>
  <si>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</si>
  <si>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</si>
  <si>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</si>
  <si>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</si>
  <si>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</si>
  <si>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</si>
  <si>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</si>
  <si>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</si>
  <si>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</si>
  <si>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</si>
  <si>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</si>
  <si>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</si>
  <si>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</si>
  <si>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</si>
  <si>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</si>
  <si>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</si>
  <si>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</si>
  <si>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</si>
  <si>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</si>
  <si>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</si>
  <si>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</si>
  <si>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</si>
  <si>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</si>
  <si>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</si>
  <si>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</si>
  <si>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</si>
  <si>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</si>
  <si>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</si>
  <si>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</si>
  <si>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</si>
  <si>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</si>
  <si>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</si>
  <si>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</si>
  <si>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</si>
  <si>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</si>
  <si>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</si>
  <si>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</si>
  <si>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</si>
  <si>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</si>
  <si>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</si>
  <si>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</si>
  <si>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</si>
  <si>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</si>
  <si>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</si>
  <si>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</si>
  <si>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</si>
  <si>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</si>
  <si>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</si>
  <si>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</si>
  <si>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</si>
  <si>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</si>
  <si>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</si>
  <si>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</si>
  <si>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</si>
  <si>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</si>
  <si>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</si>
  <si>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</si>
  <si>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</si>
  <si>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</si>
  <si>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</si>
  <si>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</si>
  <si>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</si>
  <si>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</si>
  <si>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</si>
  <si>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</si>
  <si>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</si>
  <si>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</si>
  <si>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</si>
  <si>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</si>
  <si>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</si>
  <si>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</si>
  <si>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</si>
  <si>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</si>
  <si>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</si>
  <si>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</si>
  <si>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</si>
  <si>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</si>
  <si>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</si>
  <si>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</si>
  <si>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</si>
  <si>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</si>
  <si>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</si>
  <si>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</si>
  <si>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</si>
  <si>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</si>
  <si>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</si>
  <si>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</si>
  <si>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</si>
  <si>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</si>
  <si>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</si>
  <si>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</si>
  <si>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</si>
  <si>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</si>
  <si>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</si>
  <si>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</si>
  <si>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</si>
  <si>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</si>
  <si>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</si>
  <si>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</si>
  <si>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</si>
  <si>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</si>
  <si>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</si>
  <si>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</si>
  <si>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</si>
  <si>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</si>
  <si>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</si>
  <si>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</si>
  <si>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</si>
  <si>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</si>
  <si>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</si>
  <si>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</si>
  <si>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</si>
  <si>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</si>
  <si>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</si>
  <si>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</si>
  <si>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</si>
  <si>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</si>
  <si>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</si>
  <si>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</si>
  <si>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</si>
  <si>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</si>
  <si>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</si>
  <si>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</si>
  <si>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</si>
  <si>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</si>
  <si>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</si>
  <si>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</si>
  <si>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</si>
  <si>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</si>
  <si>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</si>
  <si>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</si>
  <si>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</si>
  <si>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</si>
  <si>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</si>
  <si>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</si>
  <si>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</si>
  <si>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</si>
  <si>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</si>
  <si>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</si>
  <si>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</si>
  <si>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</si>
  <si>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</si>
  <si>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</si>
  <si>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</si>
  <si>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</si>
  <si>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</si>
  <si>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</si>
  <si>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</si>
  <si>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</si>
  <si>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</si>
  <si>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</si>
  <si>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</si>
  <si>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</si>
  <si>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</si>
  <si>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</si>
  <si>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</si>
  <si>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</si>
  <si>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</si>
  <si>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</si>
  <si>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</si>
  <si>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</si>
  <si>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</si>
  <si>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</si>
  <si>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</si>
  <si>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</si>
  <si>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</si>
  <si>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</si>
  <si>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</si>
  <si>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</si>
  <si>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</si>
  <si>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</si>
  <si>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</si>
  <si>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</si>
  <si>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</si>
  <si>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</si>
  <si>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</si>
  <si>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</si>
  <si>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</si>
  <si>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</si>
  <si>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</si>
  <si>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</si>
  <si>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</si>
  <si>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</si>
  <si>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</si>
  <si>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</si>
  <si>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</si>
  <si>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</si>
  <si>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</si>
  <si>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</si>
  <si>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</si>
  <si>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</si>
  <si>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</si>
  <si>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</si>
  <si>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</si>
  <si>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</si>
  <si>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</si>
  <si>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</si>
  <si>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</si>
  <si>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</si>
  <si>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</si>
  <si>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</si>
  <si>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</si>
  <si>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</si>
  <si>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</si>
  <si>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</si>
  <si>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</si>
  <si>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</si>
  <si>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</si>
  <si>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</si>
  <si>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</si>
  <si>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</si>
  <si>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</si>
  <si>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</si>
  <si>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</si>
  <si>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</si>
  <si>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</si>
  <si>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</si>
  <si>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</si>
  <si>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</si>
  <si>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</si>
  <si>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</si>
  <si>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</si>
  <si>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</si>
  <si>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</si>
  <si>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</si>
  <si>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</si>
  <si>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</si>
  <si>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</si>
  <si>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</si>
  <si>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</si>
  <si>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</si>
  <si>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</si>
  <si>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</si>
  <si>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</si>
  <si>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</si>
  <si>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</si>
  <si>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</si>
  <si>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</si>
  <si>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</si>
  <si>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</si>
  <si>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</si>
  <si>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</si>
  <si>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</si>
  <si>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</si>
  <si>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</si>
  <si>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</si>
  <si>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</si>
  <si>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</si>
  <si>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</si>
  <si>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</si>
  <si>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</si>
  <si>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</si>
  <si>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</si>
  <si>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</si>
  <si>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</si>
  <si>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</si>
  <si>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</si>
  <si>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</si>
  <si>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</si>
  <si>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</si>
  <si>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</si>
  <si>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</si>
  <si>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</si>
  <si>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</si>
  <si>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</si>
  <si>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</si>
  <si>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</si>
  <si>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</si>
  <si>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</si>
  <si>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</si>
  <si>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</si>
  <si>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</si>
  <si>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</si>
  <si>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</si>
  <si>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</si>
  <si>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</si>
  <si>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</si>
  <si>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</si>
  <si>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</si>
  <si>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</si>
  <si>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</si>
  <si>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</si>
  <si>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</si>
  <si>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</si>
  <si>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</si>
  <si>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</si>
  <si>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</si>
  <si>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</si>
  <si>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</si>
  <si>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</si>
  <si>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</si>
  <si>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</si>
  <si>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</si>
  <si>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</si>
  <si>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</si>
  <si>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</si>
  <si>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</si>
  <si>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</si>
  <si>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</si>
  <si>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</si>
  <si>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</si>
  <si>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</si>
  <si>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</si>
  <si>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</si>
  <si>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</si>
  <si>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</si>
  <si>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</si>
  <si>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</si>
  <si>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</si>
  <si>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</si>
  <si>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</si>
  <si>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</si>
  <si>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</si>
  <si>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</si>
  <si>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</si>
  <si>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</si>
  <si>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</si>
  <si>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</si>
  <si>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</si>
  <si>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</si>
  <si>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</si>
  <si>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</si>
  <si>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</si>
  <si>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</si>
  <si>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</si>
  <si>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</si>
  <si>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</si>
  <si>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</si>
  <si>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</si>
  <si>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</si>
  <si>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</si>
  <si>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</si>
  <si>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</si>
  <si>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</si>
  <si>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</si>
  <si>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</si>
  <si>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</si>
  <si>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</si>
  <si>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</si>
  <si>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</si>
  <si>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</si>
  <si>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</si>
  <si>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</si>
  <si>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</si>
  <si>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</si>
  <si>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</si>
  <si>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</si>
  <si>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</si>
  <si>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</si>
  <si>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</si>
  <si>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</si>
  <si>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</si>
  <si>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</si>
  <si>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</si>
  <si>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</si>
  <si>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</si>
  <si>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</si>
  <si>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</si>
  <si>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</si>
  <si>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</si>
  <si>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</si>
  <si>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</si>
  <si>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</si>
  <si>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</si>
  <si>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</si>
  <si>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</si>
  <si>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</si>
  <si>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</si>
  <si>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</si>
  <si>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</si>
  <si>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</si>
  <si>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</si>
  <si>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</si>
  <si>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</si>
  <si>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</si>
  <si>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</si>
  <si>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</si>
  <si>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</si>
  <si>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</si>
  <si>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</si>
  <si>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</si>
  <si>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</si>
  <si>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</si>
  <si>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</si>
  <si>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</si>
  <si>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</si>
  <si>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</si>
  <si>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</si>
  <si>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</si>
  <si>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</si>
  <si>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</si>
  <si>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</si>
  <si>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</si>
  <si>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</si>
  <si>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</si>
  <si>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</si>
  <si>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</si>
  <si>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</si>
  <si>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</si>
  <si>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</si>
  <si>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</si>
  <si>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</si>
  <si>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</si>
  <si>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</si>
  <si>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</si>
  <si>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</si>
  <si>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</si>
  <si>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</si>
  <si>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</si>
  <si>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</si>
  <si>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</si>
  <si>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</si>
  <si>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</si>
  <si>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</si>
  <si>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</si>
  <si>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</si>
  <si>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</si>
  <si>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</si>
  <si>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</si>
  <si>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</si>
  <si>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</si>
  <si>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</si>
  <si>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</si>
  <si>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</si>
  <si>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</si>
  <si>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</si>
  <si>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</si>
  <si>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</si>
  <si>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</si>
  <si>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</si>
  <si>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</si>
  <si>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</si>
  <si>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</si>
  <si>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</si>
  <si>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</si>
  <si>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</si>
  <si>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</si>
  <si>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</si>
  <si>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</si>
  <si>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</si>
  <si>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</si>
  <si>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</si>
  <si>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</si>
  <si>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</si>
  <si>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</si>
  <si>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</si>
  <si>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</si>
  <si>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</si>
  <si>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</si>
  <si>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</si>
  <si>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</si>
  <si>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</si>
  <si>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</si>
  <si>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</si>
  <si>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</si>
  <si>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</si>
  <si>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</si>
  <si>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</si>
  <si>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</si>
  <si>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</si>
  <si>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</si>
  <si>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</si>
  <si>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</si>
  <si>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</si>
  <si>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</si>
  <si>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</si>
  <si>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</si>
  <si>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</si>
  <si>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</si>
  <si>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</si>
  <si>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</si>
  <si>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</si>
  <si>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</si>
  <si>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</si>
  <si>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</si>
  <si>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</si>
  <si>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</si>
  <si>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</si>
  <si>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</si>
  <si>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</si>
  <si>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</si>
  <si>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</si>
  <si>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</si>
  <si>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</si>
  <si>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</si>
  <si>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</si>
  <si>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</si>
  <si>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</si>
  <si>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</si>
  <si>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</si>
  <si>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</si>
  <si>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</si>
  <si>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</si>
  <si>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</si>
  <si>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</si>
  <si>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</si>
  <si>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</si>
  <si>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</si>
  <si>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</si>
  <si>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</si>
  <si>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</si>
  <si>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</si>
  <si>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</si>
  <si>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</si>
  <si>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</si>
  <si>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</si>
  <si>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</si>
  <si>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</si>
  <si>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</si>
  <si>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</si>
  <si>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</si>
  <si>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</si>
  <si>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</si>
  <si>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</si>
  <si>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</si>
  <si>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</si>
  <si>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</si>
  <si>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</si>
  <si>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</si>
  <si>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</si>
  <si>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</si>
  <si>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</si>
  <si>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</si>
  <si>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</si>
  <si>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</si>
  <si>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</si>
  <si>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</si>
  <si>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</si>
  <si>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</si>
  <si>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</si>
  <si>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</si>
  <si>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</si>
  <si>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</si>
  <si>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</si>
  <si>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</si>
  <si>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</si>
  <si>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</si>
  <si>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</si>
  <si>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</si>
  <si>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</si>
  <si>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</si>
  <si>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</si>
  <si>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</si>
  <si>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</si>
  <si>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</si>
  <si>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</si>
  <si>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</si>
  <si>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</si>
  <si>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</si>
  <si>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</si>
  <si>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</si>
  <si>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</si>
  <si>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</si>
  <si>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</si>
  <si>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</si>
  <si>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</si>
  <si>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</si>
  <si>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</si>
  <si>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</si>
  <si>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</si>
  <si>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</si>
  <si>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</si>
  <si>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</si>
  <si>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</si>
  <si>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</si>
  <si>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</si>
  <si>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</si>
  <si>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</si>
  <si>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</si>
  <si>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</si>
  <si>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</si>
  <si>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</si>
  <si>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</si>
  <si>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</si>
  <si>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</si>
  <si>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</si>
  <si>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</si>
  <si>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</si>
  <si>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</si>
  <si>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</si>
  <si>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</si>
  <si>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</si>
  <si>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</si>
  <si>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</si>
  <si>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</si>
  <si>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</si>
  <si>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</si>
  <si>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</si>
  <si>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</si>
  <si>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</si>
  <si>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</si>
  <si>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</si>
  <si>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</si>
  <si>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</si>
  <si>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</si>
  <si>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</si>
  <si>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</si>
  <si>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</si>
  <si>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</si>
  <si>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</si>
  <si>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</si>
  <si>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</si>
  <si>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</si>
  <si>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</si>
  <si>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</si>
  <si>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</si>
  <si>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</si>
  <si>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</si>
  <si>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</si>
  <si>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</si>
  <si>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</si>
  <si>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</si>
  <si>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</si>
  <si>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</si>
  <si>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</si>
  <si>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</si>
  <si>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</si>
  <si>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</si>
  <si>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</si>
  <si>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</si>
  <si>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</si>
  <si>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</si>
  <si>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</si>
  <si>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</si>
  <si>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</si>
  <si>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</si>
  <si>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</si>
  <si>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</si>
  <si>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</si>
  <si>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</si>
  <si>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</si>
  <si>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</si>
  <si>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</si>
  <si>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</si>
  <si>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</si>
  <si>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</si>
  <si>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</si>
  <si>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</si>
  <si>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</si>
  <si>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</si>
  <si>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</si>
  <si>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</si>
  <si>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</si>
  <si>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</si>
  <si>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</si>
  <si>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</si>
  <si>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</si>
  <si>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</si>
  <si>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</si>
  <si>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</si>
  <si>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</si>
  <si>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</si>
  <si>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</si>
  <si>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</si>
  <si>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</si>
  <si>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</si>
  <si>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</si>
  <si>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</si>
  <si>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</si>
  <si>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</si>
  <si>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</si>
  <si>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</si>
  <si>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</si>
  <si>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</si>
  <si>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</si>
  <si>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</si>
  <si>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</si>
  <si>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</si>
  <si>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</si>
  <si>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</si>
  <si>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</si>
  <si>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</si>
  <si>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</si>
  <si>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</si>
  <si>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</si>
  <si>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</si>
  <si>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</si>
  <si>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</si>
  <si>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</si>
  <si>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</si>
  <si>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</si>
  <si>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</si>
  <si>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</si>
  <si>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</si>
  <si>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</si>
  <si>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</si>
  <si>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</si>
  <si>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</si>
  <si>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</si>
  <si>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</si>
  <si>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</si>
  <si>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</si>
  <si>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</si>
  <si>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</si>
  <si>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</si>
  <si>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</si>
  <si>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</si>
  <si>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</si>
  <si>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</si>
  <si>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</si>
  <si>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</si>
  <si>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</si>
  <si>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</si>
  <si>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</si>
  <si>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</si>
  <si>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</si>
  <si>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</si>
  <si>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</si>
  <si>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</si>
  <si>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</si>
  <si>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</si>
  <si>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</si>
  <si>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</si>
  <si>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</si>
  <si>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</si>
  <si>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</si>
  <si>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</si>
  <si>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</si>
  <si>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</si>
  <si>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</si>
  <si>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</si>
  <si>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</si>
  <si>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</si>
  <si>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</si>
  <si>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</si>
  <si>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</si>
  <si>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</si>
  <si>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</si>
  <si>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</si>
  <si>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</si>
  <si>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</si>
  <si>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</si>
  <si>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</si>
  <si>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</si>
  <si>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</si>
  <si>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</si>
  <si>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</si>
  <si>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</si>
  <si>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</si>
  <si>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</si>
  <si>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</si>
  <si>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</si>
  <si>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</si>
  <si>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</si>
  <si>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</si>
  <si>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</si>
  <si>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</si>
  <si>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</si>
  <si>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</si>
  <si>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</si>
  <si>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</si>
  <si>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</si>
  <si>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</si>
  <si>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</si>
  <si>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</si>
  <si>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</si>
  <si>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</si>
  <si>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</si>
  <si>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</si>
  <si>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</si>
  <si>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</si>
  <si>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</si>
  <si>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</si>
  <si>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</si>
  <si>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</si>
  <si>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</si>
  <si>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</si>
  <si>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</si>
  <si>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</si>
  <si>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</si>
  <si>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</si>
  <si>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</si>
  <si>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</si>
  <si>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</si>
  <si>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</si>
  <si>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</si>
  <si>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</si>
  <si>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This amount is so large mostly due to the Healthtrust refund</t>
  </si>
  <si>
    <t>08/10</t>
  </si>
  <si>
    <t>08/30</t>
  </si>
  <si>
    <t>Strafford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</si>
</sst>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273" t="s">
        <v>914</v>
      </c>
      <c r="B2" s="21">
        <v>507</v>
      </c>
      <c r="C2" s="21">
        <v>507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1093411.8799999999</v>
      </c>
      <c r="G9" s="18"/>
      <c r="H9" s="18"/>
      <c r="I9" s="18">
        <v>72976.820000000007</v>
      </c>
      <c r="J9" s="67">
        <f>SUM(I439)</f>
        <v>523058.75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28103.93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5189.3999999999996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11736.02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13885.73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1105147.8999999999</v>
      </c>
      <c r="G19" s="41">
        <f>SUM(G9:G18)</f>
        <v>47179.06</v>
      </c>
      <c r="H19" s="41">
        <f>SUM(H9:H18)</f>
        <v>0</v>
      </c>
      <c r="I19" s="41">
        <f>SUM(I9:I18)</f>
        <v>72976.820000000007</v>
      </c>
      <c r="J19" s="41">
        <f>SUM(J9:J18)</f>
        <v>523058.75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4758.6400000000003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123190.61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216308.36-18291.96</f>
        <v>198016.4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49691.07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375656.72000000003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13885.73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5189.4+28103.93</f>
        <v>33293.33</v>
      </c>
      <c r="H48" s="18"/>
      <c r="I48" s="18">
        <v>72976.820000000007</v>
      </c>
      <c r="J48" s="13">
        <f>SUM(I459)</f>
        <v>523058.75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679491.18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729491.18</v>
      </c>
      <c r="G51" s="41">
        <f>SUM(G35:G50)</f>
        <v>47179.06</v>
      </c>
      <c r="H51" s="41">
        <f>SUM(H35:H50)</f>
        <v>0</v>
      </c>
      <c r="I51" s="41">
        <f>SUM(I35:I50)</f>
        <v>72976.820000000007</v>
      </c>
      <c r="J51" s="41">
        <f>SUM(J35:J50)</f>
        <v>523058.75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1105147.9000000001</v>
      </c>
      <c r="G52" s="41">
        <f>G51+G32</f>
        <v>47179.06</v>
      </c>
      <c r="H52" s="41">
        <f>H51+H32</f>
        <v>0</v>
      </c>
      <c r="I52" s="41">
        <f>I51+I32</f>
        <v>72976.820000000007</v>
      </c>
      <c r="J52" s="41">
        <f>J51+J32</f>
        <v>523058.75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7253722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7253722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25329.599999999999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25329.599999999999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4819.5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4819.5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111.05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125477.38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2980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168914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172005.05</v>
      </c>
      <c r="G111" s="41">
        <f>SUM(G96:G110)</f>
        <v>125477.38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7455876.1499999994</v>
      </c>
      <c r="G112" s="41">
        <f>G60+G111</f>
        <v>125477.38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2103097.7599999998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1094844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3197941.7599999998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62482.5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29960.37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2901.4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92442.87</v>
      </c>
      <c r="G136" s="41">
        <f>SUM(G123:G135)</f>
        <v>2901.4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3290384.63</v>
      </c>
      <c r="G140" s="41">
        <f>G121+SUM(G136:G137)</f>
        <v>2901.4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54988.12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46494.33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46494.33</v>
      </c>
      <c r="G162" s="41">
        <f>SUM(G150:G161)</f>
        <v>54988.12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46494.33</v>
      </c>
      <c r="G169" s="41">
        <f>G147+G162+SUM(G163:G168)</f>
        <v>54988.12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10792755.109999999</v>
      </c>
      <c r="G193" s="47">
        <f>G112+G140+G169+G192</f>
        <v>183366.9</v>
      </c>
      <c r="H193" s="47">
        <f>H112+H140+H169+H192</f>
        <v>0</v>
      </c>
      <c r="I193" s="47">
        <f>I112+I140+I169+I192</f>
        <v>0</v>
      </c>
      <c r="J193" s="47">
        <f>J112+J140+J192</f>
        <v>50000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1916876.84</v>
      </c>
      <c r="G197" s="18">
        <v>932718.58</v>
      </c>
      <c r="H197" s="18">
        <v>16944.560000000001</v>
      </c>
      <c r="I197" s="18">
        <v>57963.01</v>
      </c>
      <c r="J197" s="18">
        <v>59577.26</v>
      </c>
      <c r="K197" s="18">
        <v>642.5</v>
      </c>
      <c r="L197" s="19">
        <f>SUM(F197:K197)</f>
        <v>2984722.7499999995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535606.01</v>
      </c>
      <c r="G198" s="18">
        <v>314742.43</v>
      </c>
      <c r="H198" s="18">
        <v>70383.149999999994</v>
      </c>
      <c r="I198" s="18">
        <v>4059.15</v>
      </c>
      <c r="J198" s="18">
        <v>4507.42</v>
      </c>
      <c r="K198" s="18">
        <v>125</v>
      </c>
      <c r="L198" s="19">
        <f>SUM(F198:K198)</f>
        <v>929423.16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36240</v>
      </c>
      <c r="G200" s="18">
        <v>6475.19</v>
      </c>
      <c r="H200" s="18">
        <v>4123</v>
      </c>
      <c r="I200" s="18">
        <v>1803.93</v>
      </c>
      <c r="J200" s="18">
        <v>0</v>
      </c>
      <c r="K200" s="18">
        <v>1424</v>
      </c>
      <c r="L200" s="19">
        <f>SUM(F200:K200)</f>
        <v>50066.12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250620.98</v>
      </c>
      <c r="G202" s="18">
        <v>96167.61</v>
      </c>
      <c r="H202" s="18">
        <v>83655.88</v>
      </c>
      <c r="I202" s="18">
        <v>2546.34</v>
      </c>
      <c r="J202" s="18">
        <v>0</v>
      </c>
      <c r="K202" s="18">
        <v>1145</v>
      </c>
      <c r="L202" s="19">
        <f t="shared" ref="L202:L208" si="0">SUM(F202:K202)</f>
        <v>434135.81000000006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67864.039999999994</v>
      </c>
      <c r="G203" s="18">
        <v>35739.35</v>
      </c>
      <c r="H203" s="18">
        <v>16212.24</v>
      </c>
      <c r="I203" s="18">
        <v>33327.11</v>
      </c>
      <c r="J203" s="18">
        <v>942.88</v>
      </c>
      <c r="K203" s="18">
        <v>0</v>
      </c>
      <c r="L203" s="19">
        <f t="shared" si="0"/>
        <v>154085.62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7190.13</v>
      </c>
      <c r="G204" s="18">
        <v>550.07000000000005</v>
      </c>
      <c r="H204" s="18">
        <v>240163.28</v>
      </c>
      <c r="I204" s="18">
        <v>0</v>
      </c>
      <c r="J204" s="18">
        <v>0</v>
      </c>
      <c r="K204" s="18">
        <v>3259.73</v>
      </c>
      <c r="L204" s="19">
        <f t="shared" si="0"/>
        <v>251163.21000000002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279407.03999999998</v>
      </c>
      <c r="G205" s="18">
        <v>142013.73000000001</v>
      </c>
      <c r="H205" s="18">
        <v>4374.71</v>
      </c>
      <c r="I205" s="18">
        <v>2108.61</v>
      </c>
      <c r="J205" s="18">
        <v>0</v>
      </c>
      <c r="K205" s="18">
        <v>3872.04</v>
      </c>
      <c r="L205" s="19">
        <f t="shared" si="0"/>
        <v>431776.13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123433.47</v>
      </c>
      <c r="G207" s="18">
        <v>64610.11</v>
      </c>
      <c r="H207" s="18">
        <v>110583.79</v>
      </c>
      <c r="I207" s="18">
        <v>147834.22</v>
      </c>
      <c r="J207" s="18">
        <v>192.44</v>
      </c>
      <c r="K207" s="18">
        <v>0</v>
      </c>
      <c r="L207" s="19">
        <f t="shared" si="0"/>
        <v>446654.02999999997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236891.96</v>
      </c>
      <c r="I208" s="18">
        <v>0</v>
      </c>
      <c r="J208" s="18">
        <v>0</v>
      </c>
      <c r="K208" s="18">
        <v>0</v>
      </c>
      <c r="L208" s="19">
        <f t="shared" si="0"/>
        <v>236891.96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3217238.5100000002</v>
      </c>
      <c r="G211" s="41">
        <f t="shared" si="1"/>
        <v>1593017.0700000003</v>
      </c>
      <c r="H211" s="41">
        <f t="shared" si="1"/>
        <v>783332.57</v>
      </c>
      <c r="I211" s="41">
        <f t="shared" si="1"/>
        <v>249642.37</v>
      </c>
      <c r="J211" s="41">
        <f t="shared" si="1"/>
        <v>65220</v>
      </c>
      <c r="K211" s="41">
        <f t="shared" si="1"/>
        <v>10468.27</v>
      </c>
      <c r="L211" s="41">
        <f t="shared" si="1"/>
        <v>5918918.79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3214515.85</v>
      </c>
      <c r="I233" s="18"/>
      <c r="J233" s="18"/>
      <c r="K233" s="18"/>
      <c r="L233" s="19">
        <f>SUM(F233:K233)</f>
        <v>3214515.85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446781.28</v>
      </c>
      <c r="I234" s="18"/>
      <c r="J234" s="18"/>
      <c r="K234" s="18"/>
      <c r="L234" s="19">
        <f>SUM(F234:K234)</f>
        <v>446781.28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4222.7700000000004</v>
      </c>
      <c r="G240" s="18">
        <v>323.06</v>
      </c>
      <c r="H240" s="18">
        <v>141048.28</v>
      </c>
      <c r="I240" s="18">
        <v>0</v>
      </c>
      <c r="J240" s="18">
        <v>0</v>
      </c>
      <c r="K240" s="18">
        <v>1914.45</v>
      </c>
      <c r="L240" s="19">
        <f t="shared" si="4"/>
        <v>147508.56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128012.15</v>
      </c>
      <c r="I244" s="18"/>
      <c r="J244" s="18"/>
      <c r="K244" s="18"/>
      <c r="L244" s="19">
        <f t="shared" si="4"/>
        <v>128012.15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4222.7700000000004</v>
      </c>
      <c r="G247" s="41">
        <f t="shared" si="5"/>
        <v>323.06</v>
      </c>
      <c r="H247" s="41">
        <f t="shared" si="5"/>
        <v>3930357.5599999996</v>
      </c>
      <c r="I247" s="41">
        <f t="shared" si="5"/>
        <v>0</v>
      </c>
      <c r="J247" s="41">
        <f t="shared" si="5"/>
        <v>0</v>
      </c>
      <c r="K247" s="41">
        <f t="shared" si="5"/>
        <v>1914.45</v>
      </c>
      <c r="L247" s="41">
        <f t="shared" si="5"/>
        <v>3936817.84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3221461.2800000003</v>
      </c>
      <c r="G257" s="41">
        <f t="shared" si="8"/>
        <v>1593340.1300000004</v>
      </c>
      <c r="H257" s="41">
        <f t="shared" si="8"/>
        <v>4713690.13</v>
      </c>
      <c r="I257" s="41">
        <f t="shared" si="8"/>
        <v>249642.37</v>
      </c>
      <c r="J257" s="41">
        <f t="shared" si="8"/>
        <v>65220</v>
      </c>
      <c r="K257" s="41">
        <f t="shared" si="8"/>
        <v>12382.720000000001</v>
      </c>
      <c r="L257" s="41">
        <f t="shared" si="8"/>
        <v>9855736.629999999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190000</v>
      </c>
      <c r="L260" s="19">
        <f>SUM(F260:K260)</f>
        <v>190000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214887.5</v>
      </c>
      <c r="L261" s="19">
        <f>SUM(F261:K261)</f>
        <v>214887.5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3000</v>
      </c>
      <c r="L268" s="19">
        <f t="shared" si="9"/>
        <v>3000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457887.5</v>
      </c>
      <c r="L270" s="41">
        <f t="shared" si="9"/>
        <v>457887.5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3221461.2800000003</v>
      </c>
      <c r="G271" s="42">
        <f t="shared" si="11"/>
        <v>1593340.1300000004</v>
      </c>
      <c r="H271" s="42">
        <f t="shared" si="11"/>
        <v>4713690.13</v>
      </c>
      <c r="I271" s="42">
        <f t="shared" si="11"/>
        <v>249642.37</v>
      </c>
      <c r="J271" s="42">
        <f t="shared" si="11"/>
        <v>65220</v>
      </c>
      <c r="K271" s="42">
        <f t="shared" si="11"/>
        <v>470270.22</v>
      </c>
      <c r="L271" s="42">
        <f t="shared" si="11"/>
        <v>10313624.129999999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71646.820000000007</v>
      </c>
      <c r="G358" s="18">
        <v>11023.17</v>
      </c>
      <c r="H358" s="18">
        <v>474</v>
      </c>
      <c r="I358" s="18">
        <v>69072.3</v>
      </c>
      <c r="J358" s="18">
        <v>0</v>
      </c>
      <c r="K358" s="18">
        <v>49.5</v>
      </c>
      <c r="L358" s="13">
        <f>SUM(F358:K358)</f>
        <v>152265.79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71646.820000000007</v>
      </c>
      <c r="G362" s="47">
        <f t="shared" si="22"/>
        <v>11023.17</v>
      </c>
      <c r="H362" s="47">
        <f t="shared" si="22"/>
        <v>474</v>
      </c>
      <c r="I362" s="47">
        <f t="shared" si="22"/>
        <v>69072.3</v>
      </c>
      <c r="J362" s="47">
        <f t="shared" si="22"/>
        <v>0</v>
      </c>
      <c r="K362" s="47">
        <f t="shared" si="22"/>
        <v>49.5</v>
      </c>
      <c r="L362" s="47">
        <f t="shared" si="22"/>
        <v>152265.79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64330.65</v>
      </c>
      <c r="G367" s="18"/>
      <c r="H367" s="18"/>
      <c r="I367" s="56">
        <f>SUM(F367:H367)</f>
        <v>64330.65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4741.6499999999996</v>
      </c>
      <c r="G368" s="63"/>
      <c r="H368" s="63"/>
      <c r="I368" s="56">
        <f>SUM(F368:H368)</f>
        <v>4741.6499999999996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69072.3</v>
      </c>
      <c r="G369" s="47">
        <f>SUM(G367:G368)</f>
        <v>0</v>
      </c>
      <c r="H369" s="47">
        <f>SUM(H367:H368)</f>
        <v>0</v>
      </c>
      <c r="I369" s="47">
        <f>SUM(I367:I368)</f>
        <v>69072.3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25000</v>
      </c>
      <c r="H389" s="18"/>
      <c r="I389" s="18"/>
      <c r="J389" s="24" t="s">
        <v>289</v>
      </c>
      <c r="K389" s="24" t="s">
        <v>289</v>
      </c>
      <c r="L389" s="56">
        <f t="shared" si="25"/>
        <v>25000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25000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50000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523058.75</v>
      </c>
      <c r="G439" s="18"/>
      <c r="H439" s="18"/>
      <c r="I439" s="56">
        <f t="shared" ref="I439:I445" si="33">SUM(F439:H439)</f>
        <v>523058.75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523058.75</v>
      </c>
      <c r="G446" s="13">
        <f>SUM(G439:G445)</f>
        <v>0</v>
      </c>
      <c r="H446" s="13">
        <f>SUM(H439:H445)</f>
        <v>0</v>
      </c>
      <c r="I446" s="13">
        <f>SUM(I439:I445)</f>
        <v>523058.75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523058.75</v>
      </c>
      <c r="G459" s="18"/>
      <c r="H459" s="18"/>
      <c r="I459" s="56">
        <f t="shared" si="34"/>
        <v>523058.75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523058.75</v>
      </c>
      <c r="G460" s="83">
        <f>SUM(G454:G459)</f>
        <v>0</v>
      </c>
      <c r="H460" s="83">
        <f>SUM(H454:H459)</f>
        <v>0</v>
      </c>
      <c r="I460" s="83">
        <f>SUM(I454:I459)</f>
        <v>523058.75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523058.75</v>
      </c>
      <c r="G461" s="42">
        <f>G452+G460</f>
        <v>0</v>
      </c>
      <c r="H461" s="42">
        <f>H452+H460</f>
        <v>0</v>
      </c>
      <c r="I461" s="42">
        <f>I452+I460</f>
        <v>523058.75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904</v>
      </c>
      <c r="B465" s="105">
        <v>19</v>
      </c>
      <c r="C465" s="111">
        <v>1</v>
      </c>
      <c r="D465" s="2" t="s">
        <v>433</v>
      </c>
      <c r="E465" s="111"/>
      <c r="F465" s="18">
        <v>250360.2</v>
      </c>
      <c r="G465" s="18">
        <v>16077.95</v>
      </c>
      <c r="H465" s="18">
        <v>0</v>
      </c>
      <c r="I465" s="18">
        <v>72976.820000000007</v>
      </c>
      <c r="J465" s="18">
        <v>473058.75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10792755.109999999</v>
      </c>
      <c r="G468" s="18">
        <v>183366.9</v>
      </c>
      <c r="H468" s="18">
        <v>0</v>
      </c>
      <c r="I468" s="18">
        <v>0</v>
      </c>
      <c r="J468" s="18">
        <v>50000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10792755.109999999</v>
      </c>
      <c r="G470" s="53">
        <f>SUM(G468:G469)</f>
        <v>183366.9</v>
      </c>
      <c r="H470" s="53">
        <f>SUM(H468:H469)</f>
        <v>0</v>
      </c>
      <c r="I470" s="53">
        <f>SUM(I468:I469)</f>
        <v>0</v>
      </c>
      <c r="J470" s="53">
        <f>SUM(J468:J469)</f>
        <v>50000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10313624.130000001</v>
      </c>
      <c r="G472" s="18">
        <v>152265.79</v>
      </c>
      <c r="H472" s="18">
        <v>0</v>
      </c>
      <c r="I472" s="18">
        <v>0</v>
      </c>
      <c r="J472" s="18"/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10313624.130000001</v>
      </c>
      <c r="G474" s="53">
        <f>SUM(G472:G473)</f>
        <v>152265.79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729491.17999999784</v>
      </c>
      <c r="G476" s="53">
        <f>(G465+G470)- G474</f>
        <v>47179.06</v>
      </c>
      <c r="H476" s="53">
        <f>(H465+H470)- H474</f>
        <v>0</v>
      </c>
      <c r="I476" s="53">
        <f>(I465+I470)- I474</f>
        <v>72976.820000000007</v>
      </c>
      <c r="J476" s="53">
        <f>(J465+J470)- J474</f>
        <v>523058.75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5600000</v>
      </c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3.99</v>
      </c>
      <c r="G494" s="18"/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4695000</v>
      </c>
      <c r="G495" s="18"/>
      <c r="H495" s="18"/>
      <c r="I495" s="18"/>
      <c r="J495" s="18"/>
      <c r="K495" s="53">
        <f>SUM(F495:J495)</f>
        <v>4695000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190000</v>
      </c>
      <c r="G497" s="18"/>
      <c r="H497" s="18"/>
      <c r="I497" s="18"/>
      <c r="J497" s="18"/>
      <c r="K497" s="53">
        <f t="shared" si="35"/>
        <v>190000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f>F495-F497</f>
        <v>4505000</v>
      </c>
      <c r="G498" s="203"/>
      <c r="H498" s="203"/>
      <c r="I498" s="203"/>
      <c r="J498" s="203"/>
      <c r="K498" s="204">
        <f t="shared" si="35"/>
        <v>4505000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1983856.25</v>
      </c>
      <c r="G499" s="18"/>
      <c r="H499" s="18"/>
      <c r="I499" s="18"/>
      <c r="J499" s="18"/>
      <c r="K499" s="53">
        <f t="shared" si="35"/>
        <v>1983856.25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6488856.25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6488856.25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200000</v>
      </c>
      <c r="G501" s="203"/>
      <c r="H501" s="203"/>
      <c r="I501" s="203"/>
      <c r="J501" s="203"/>
      <c r="K501" s="204">
        <f t="shared" si="35"/>
        <v>200000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208087.5</v>
      </c>
      <c r="G502" s="18"/>
      <c r="H502" s="18"/>
      <c r="I502" s="18"/>
      <c r="J502" s="18"/>
      <c r="K502" s="53">
        <f t="shared" si="35"/>
        <v>208087.5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408087.5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408087.5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535606.01</v>
      </c>
      <c r="G521" s="18">
        <v>314742.43</v>
      </c>
      <c r="H521" s="18">
        <v>70383.149999999994</v>
      </c>
      <c r="I521" s="18">
        <v>4059.15</v>
      </c>
      <c r="J521" s="18">
        <v>4507.42</v>
      </c>
      <c r="K521" s="18">
        <v>125</v>
      </c>
      <c r="L521" s="88">
        <f>SUM(F521:K521)</f>
        <v>929423.16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446781.28</v>
      </c>
      <c r="I523" s="18"/>
      <c r="J523" s="18"/>
      <c r="K523" s="18"/>
      <c r="L523" s="88">
        <f>SUM(F523:K523)</f>
        <v>446781.28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535606.01</v>
      </c>
      <c r="G524" s="108">
        <f t="shared" ref="G524:L524" si="36">SUM(G521:G523)</f>
        <v>314742.43</v>
      </c>
      <c r="H524" s="108">
        <f t="shared" si="36"/>
        <v>517164.43000000005</v>
      </c>
      <c r="I524" s="108">
        <f t="shared" si="36"/>
        <v>4059.15</v>
      </c>
      <c r="J524" s="108">
        <f t="shared" si="36"/>
        <v>4507.42</v>
      </c>
      <c r="K524" s="108">
        <f t="shared" si="36"/>
        <v>125</v>
      </c>
      <c r="L524" s="89">
        <f t="shared" si="36"/>
        <v>1376204.44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48140.87</v>
      </c>
      <c r="I526" s="18"/>
      <c r="J526" s="18"/>
      <c r="K526" s="18"/>
      <c r="L526" s="88">
        <f>SUM(F526:K526)</f>
        <v>48140.87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29627.51</v>
      </c>
      <c r="I528" s="18"/>
      <c r="J528" s="18"/>
      <c r="K528" s="18"/>
      <c r="L528" s="88">
        <f>SUM(F528:K528)</f>
        <v>29627.51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77768.38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77768.38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43653.22</v>
      </c>
      <c r="I531" s="18"/>
      <c r="J531" s="18"/>
      <c r="K531" s="18"/>
      <c r="L531" s="88">
        <f>SUM(F531:K531)</f>
        <v>43653.22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25637.61</v>
      </c>
      <c r="I533" s="18"/>
      <c r="J533" s="18"/>
      <c r="K533" s="18"/>
      <c r="L533" s="88">
        <f>SUM(F533:K533)</f>
        <v>25637.61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69290.83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69290.83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50546</v>
      </c>
      <c r="I541" s="18"/>
      <c r="J541" s="18"/>
      <c r="K541" s="18"/>
      <c r="L541" s="88">
        <f>SUM(F541:K541)</f>
        <v>50546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13607.75</v>
      </c>
      <c r="I543" s="18"/>
      <c r="J543" s="18"/>
      <c r="K543" s="18"/>
      <c r="L543" s="88">
        <f>SUM(F543:K543)</f>
        <v>13607.75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64153.75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64153.75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535606.01</v>
      </c>
      <c r="G545" s="89">
        <f t="shared" ref="G545:L545" si="41">G524+G529+G534+G539+G544</f>
        <v>314742.43</v>
      </c>
      <c r="H545" s="89">
        <f t="shared" si="41"/>
        <v>728377.39</v>
      </c>
      <c r="I545" s="89">
        <f t="shared" si="41"/>
        <v>4059.15</v>
      </c>
      <c r="J545" s="89">
        <f t="shared" si="41"/>
        <v>4507.42</v>
      </c>
      <c r="K545" s="89">
        <f t="shared" si="41"/>
        <v>125</v>
      </c>
      <c r="L545" s="89">
        <f t="shared" si="41"/>
        <v>1587417.4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929423.16</v>
      </c>
      <c r="G549" s="87">
        <f>L526</f>
        <v>48140.87</v>
      </c>
      <c r="H549" s="87">
        <f>L531</f>
        <v>43653.22</v>
      </c>
      <c r="I549" s="87">
        <f>L536</f>
        <v>0</v>
      </c>
      <c r="J549" s="87">
        <f>L541</f>
        <v>50546</v>
      </c>
      <c r="K549" s="87">
        <f>SUM(F549:J549)</f>
        <v>1071763.25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446781.28</v>
      </c>
      <c r="G551" s="87">
        <f>L528</f>
        <v>29627.51</v>
      </c>
      <c r="H551" s="87">
        <f>L533</f>
        <v>25637.61</v>
      </c>
      <c r="I551" s="87">
        <f>L538</f>
        <v>0</v>
      </c>
      <c r="J551" s="87">
        <f>L543</f>
        <v>13607.75</v>
      </c>
      <c r="K551" s="87">
        <f>SUM(F551:J551)</f>
        <v>515654.15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1376204.44</v>
      </c>
      <c r="G552" s="89">
        <f t="shared" si="42"/>
        <v>77768.38</v>
      </c>
      <c r="H552" s="89">
        <f t="shared" si="42"/>
        <v>69290.83</v>
      </c>
      <c r="I552" s="89">
        <f t="shared" si="42"/>
        <v>0</v>
      </c>
      <c r="J552" s="89">
        <f t="shared" si="42"/>
        <v>64153.75</v>
      </c>
      <c r="K552" s="89">
        <f t="shared" si="42"/>
        <v>1587417.4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41213.040000000001</v>
      </c>
      <c r="I575" s="87">
        <f>SUM(F575:H575)</f>
        <v>41213.040000000001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3176302.81</v>
      </c>
      <c r="I577" s="87">
        <f t="shared" si="47"/>
        <v>3176302.81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209435.02</v>
      </c>
      <c r="I581" s="87">
        <f t="shared" si="47"/>
        <v>209435.02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103304.7</v>
      </c>
      <c r="I582" s="87">
        <f t="shared" si="47"/>
        <v>103304.7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182199.6</v>
      </c>
      <c r="I591" s="18"/>
      <c r="J591" s="18">
        <v>114404.4</v>
      </c>
      <c r="K591" s="104">
        <f t="shared" ref="K591:K597" si="48">SUM(H591:J591)</f>
        <v>296604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50546</v>
      </c>
      <c r="I592" s="18"/>
      <c r="J592" s="18">
        <v>13607.75</v>
      </c>
      <c r="K592" s="104">
        <f t="shared" si="48"/>
        <v>64153.75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4146.3599999999997</v>
      </c>
      <c r="I594" s="18"/>
      <c r="J594" s="18"/>
      <c r="K594" s="104">
        <f t="shared" si="48"/>
        <v>4146.3599999999997</v>
      </c>
      <c r="L594" s="24" t="s">
        <v>289</v>
      </c>
      <c r="M594" s="8"/>
      <c r="N594" s="271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236891.96</v>
      </c>
      <c r="I598" s="108">
        <f>SUM(I591:I597)</f>
        <v>0</v>
      </c>
      <c r="J598" s="108">
        <f>SUM(J591:J597)</f>
        <v>128012.15</v>
      </c>
      <c r="K598" s="108">
        <f>SUM(K591:K597)</f>
        <v>364904.11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65220</v>
      </c>
      <c r="I604" s="18"/>
      <c r="J604" s="18"/>
      <c r="K604" s="104">
        <f>SUM(H604:J604)</f>
        <v>65220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65220</v>
      </c>
      <c r="I605" s="108">
        <f>SUM(I602:I604)</f>
        <v>0</v>
      </c>
      <c r="J605" s="108">
        <f>SUM(J602:J604)</f>
        <v>0</v>
      </c>
      <c r="K605" s="108">
        <f>SUM(K602:K604)</f>
        <v>65220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18590-1000</f>
        <v>17590</v>
      </c>
      <c r="G611" s="18">
        <f>3026.52-218.1</f>
        <v>2808.42</v>
      </c>
      <c r="H611" s="18">
        <v>425.38</v>
      </c>
      <c r="I611" s="18">
        <v>249.42</v>
      </c>
      <c r="J611" s="18"/>
      <c r="K611" s="18"/>
      <c r="L611" s="88">
        <f>SUM(F611:K611)</f>
        <v>21073.219999999998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1000</v>
      </c>
      <c r="G613" s="18">
        <v>218.1</v>
      </c>
      <c r="H613" s="18"/>
      <c r="I613" s="18"/>
      <c r="J613" s="18"/>
      <c r="K613" s="18"/>
      <c r="L613" s="88">
        <f>SUM(F613:K613)</f>
        <v>1218.0999999999999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18590</v>
      </c>
      <c r="G614" s="108">
        <f t="shared" si="49"/>
        <v>3026.52</v>
      </c>
      <c r="H614" s="108">
        <f t="shared" si="49"/>
        <v>425.38</v>
      </c>
      <c r="I614" s="108">
        <f t="shared" si="49"/>
        <v>249.42</v>
      </c>
      <c r="J614" s="108">
        <f t="shared" si="49"/>
        <v>0</v>
      </c>
      <c r="K614" s="108">
        <f t="shared" si="49"/>
        <v>0</v>
      </c>
      <c r="L614" s="89">
        <f t="shared" si="49"/>
        <v>22291.319999999996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1105147.8999999999</v>
      </c>
      <c r="H617" s="109">
        <f>SUM(F52)</f>
        <v>1105147.9000000001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47179.06</v>
      </c>
      <c r="H618" s="109">
        <f>SUM(G52)</f>
        <v>47179.06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72976.820000000007</v>
      </c>
      <c r="H620" s="109">
        <f>SUM(I52)</f>
        <v>72976.820000000007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523058.75</v>
      </c>
      <c r="H621" s="109">
        <f>SUM(J52)</f>
        <v>523058.75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729491.18</v>
      </c>
      <c r="H622" s="109">
        <f>F476</f>
        <v>729491.17999999784</v>
      </c>
      <c r="I622" s="121" t="s">
        <v>101</v>
      </c>
      <c r="J622" s="109">
        <f t="shared" ref="J622:J655" si="50">G622-H622</f>
        <v>2.2118911147117615E-9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47179.06</v>
      </c>
      <c r="H623" s="109">
        <f>G476</f>
        <v>47179.06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72976.820000000007</v>
      </c>
      <c r="H625" s="109">
        <f>I476</f>
        <v>72976.820000000007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523058.75</v>
      </c>
      <c r="H626" s="109">
        <f>J476</f>
        <v>523058.75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10792755.109999999</v>
      </c>
      <c r="H627" s="104">
        <f>SUM(F468)</f>
        <v>10792755.109999999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183366.9</v>
      </c>
      <c r="H628" s="104">
        <f>SUM(G468)</f>
        <v>183366.9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10313624.129999999</v>
      </c>
      <c r="H632" s="104">
        <f>SUM(F472)</f>
        <v>10313624.130000001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69072.3</v>
      </c>
      <c r="H634" s="104">
        <f>I369</f>
        <v>69072.3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152265.79</v>
      </c>
      <c r="H635" s="104">
        <f>SUM(G472)</f>
        <v>152265.79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523058.75</v>
      </c>
      <c r="H639" s="104">
        <f>SUM(F461)</f>
        <v>523058.75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523058.75</v>
      </c>
      <c r="H642" s="104">
        <f>SUM(I461)</f>
        <v>523058.75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50000</v>
      </c>
      <c r="H646" s="104">
        <f>L408</f>
        <v>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364904.11</v>
      </c>
      <c r="H647" s="104">
        <f>L208+L226+L244</f>
        <v>364904.11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65220</v>
      </c>
      <c r="H648" s="104">
        <f>(J257+J338)-(J255+J336)</f>
        <v>65220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236891.96</v>
      </c>
      <c r="H649" s="104">
        <f>H598</f>
        <v>236891.96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128012.15</v>
      </c>
      <c r="H651" s="104">
        <f>J598</f>
        <v>128012.15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6071184.5800000001</v>
      </c>
      <c r="G660" s="19">
        <f>(L229+L309+L359)</f>
        <v>0</v>
      </c>
      <c r="H660" s="19">
        <f>(L247+L328+L360)</f>
        <v>3936817.84</v>
      </c>
      <c r="I660" s="19">
        <f>SUM(F660:H660)</f>
        <v>10008002.42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125477.38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125477.38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236891.96</v>
      </c>
      <c r="G662" s="19">
        <f>(L226+L306)-(J226+J306)</f>
        <v>0</v>
      </c>
      <c r="H662" s="19">
        <f>(L244+L325)-(J244+J325)</f>
        <v>128012.15</v>
      </c>
      <c r="I662" s="19">
        <f>SUM(F662:H662)</f>
        <v>364904.11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86293.22</v>
      </c>
      <c r="G663" s="198">
        <f>SUM(G575:G587)+SUM(I602:I604)+L612</f>
        <v>0</v>
      </c>
      <c r="H663" s="198">
        <f>SUM(H575:H587)+SUM(J602:J604)+L613</f>
        <v>3531473.6700000004</v>
      </c>
      <c r="I663" s="19">
        <f>SUM(F663:H663)</f>
        <v>3617766.8900000006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5622522.0200000005</v>
      </c>
      <c r="G664" s="19">
        <f>G660-SUM(G661:G663)</f>
        <v>0</v>
      </c>
      <c r="H664" s="19">
        <f>H660-SUM(H661:H663)</f>
        <v>277332.01999999955</v>
      </c>
      <c r="I664" s="19">
        <f>I660-SUM(I661:I663)</f>
        <v>5899854.0399999991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407.37</v>
      </c>
      <c r="G665" s="247"/>
      <c r="H665" s="247"/>
      <c r="I665" s="19">
        <f>SUM(F665:H665)</f>
        <v>407.37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14482.79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-277332.02</v>
      </c>
      <c r="I669" s="19">
        <f>SUM(F669:H669)</f>
        <v>-277332.02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13802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Strafford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7" t="s">
        <v>784</v>
      </c>
      <c r="B3" s="277"/>
      <c r="C3" s="277"/>
    </row>
    <row r="4" spans="1:3" x14ac:dyDescent="0.2">
      <c r="A4" s="235"/>
      <c r="B4" s="236" t="str">
        <f>'DOE25'!H1</f>
        <v>DOE 25  2014-2015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783</v>
      </c>
      <c r="C6" s="276"/>
    </row>
    <row r="7" spans="1:3" x14ac:dyDescent="0.2">
      <c r="A7" s="238" t="s">
        <v>786</v>
      </c>
      <c r="B7" s="274" t="s">
        <v>782</v>
      </c>
      <c r="C7" s="275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1916876.84</v>
      </c>
      <c r="C9" s="228">
        <f>'DOE25'!G197+'DOE25'!G215+'DOE25'!G233+'DOE25'!G276+'DOE25'!G295+'DOE25'!G314</f>
        <v>932718.58</v>
      </c>
    </row>
    <row r="10" spans="1:3" x14ac:dyDescent="0.2">
      <c r="A10" t="s">
        <v>779</v>
      </c>
      <c r="B10" s="239">
        <v>1840285.48</v>
      </c>
      <c r="C10" s="239">
        <v>907061.8</v>
      </c>
    </row>
    <row r="11" spans="1:3" x14ac:dyDescent="0.2">
      <c r="A11" t="s">
        <v>780</v>
      </c>
      <c r="B11" s="239">
        <v>20902.03</v>
      </c>
      <c r="C11" s="239">
        <f>2130.14+17667.4+1599.01</f>
        <v>21396.55</v>
      </c>
    </row>
    <row r="12" spans="1:3" x14ac:dyDescent="0.2">
      <c r="A12" t="s">
        <v>781</v>
      </c>
      <c r="B12" s="239">
        <f>6634.5+1500.71+46687.67+866.45</f>
        <v>55689.329999999994</v>
      </c>
      <c r="C12" s="239">
        <v>4260.2299999999996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1916876.84</v>
      </c>
      <c r="C13" s="230">
        <f>SUM(C10:C12)</f>
        <v>932718.58000000007</v>
      </c>
    </row>
    <row r="14" spans="1:3" x14ac:dyDescent="0.2">
      <c r="B14" s="229"/>
      <c r="C14" s="229"/>
    </row>
    <row r="15" spans="1:3" x14ac:dyDescent="0.2">
      <c r="B15" s="276" t="s">
        <v>783</v>
      </c>
      <c r="C15" s="276"/>
    </row>
    <row r="16" spans="1:3" x14ac:dyDescent="0.2">
      <c r="A16" s="238" t="s">
        <v>787</v>
      </c>
      <c r="B16" s="274" t="s">
        <v>707</v>
      </c>
      <c r="C16" s="275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535606.01</v>
      </c>
      <c r="C18" s="228">
        <f>'DOE25'!G198+'DOE25'!G216+'DOE25'!G234+'DOE25'!G277+'DOE25'!G296+'DOE25'!G315</f>
        <v>314742.43</v>
      </c>
    </row>
    <row r="19" spans="1:3" x14ac:dyDescent="0.2">
      <c r="A19" t="s">
        <v>779</v>
      </c>
      <c r="B19" s="239">
        <v>194694.39999999999</v>
      </c>
      <c r="C19" s="239">
        <v>118032.46</v>
      </c>
    </row>
    <row r="20" spans="1:3" x14ac:dyDescent="0.2">
      <c r="A20" t="s">
        <v>780</v>
      </c>
      <c r="B20" s="239">
        <v>280077.55</v>
      </c>
      <c r="C20" s="239">
        <v>187840.09</v>
      </c>
    </row>
    <row r="21" spans="1:3" x14ac:dyDescent="0.2">
      <c r="A21" t="s">
        <v>781</v>
      </c>
      <c r="B21" s="239">
        <f>10020.26+30099+2660+7490+9564.8+1000</f>
        <v>60834.06</v>
      </c>
      <c r="C21" s="239">
        <v>8869.8799999999992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535606.01</v>
      </c>
      <c r="C22" s="230">
        <f>SUM(C19:C21)</f>
        <v>314742.43</v>
      </c>
    </row>
    <row r="23" spans="1:3" x14ac:dyDescent="0.2">
      <c r="B23" s="229"/>
      <c r="C23" s="229"/>
    </row>
    <row r="24" spans="1:3" x14ac:dyDescent="0.2">
      <c r="B24" s="276" t="s">
        <v>783</v>
      </c>
      <c r="C24" s="276"/>
    </row>
    <row r="25" spans="1:3" x14ac:dyDescent="0.2">
      <c r="A25" s="238" t="s">
        <v>788</v>
      </c>
      <c r="B25" s="274" t="s">
        <v>708</v>
      </c>
      <c r="C25" s="275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8" t="s">
        <v>789</v>
      </c>
      <c r="B34" s="274" t="s">
        <v>709</v>
      </c>
      <c r="C34" s="275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36240</v>
      </c>
      <c r="C36" s="234">
        <f>'DOE25'!G200+'DOE25'!G218+'DOE25'!G236+'DOE25'!G279+'DOE25'!G298+'DOE25'!G317</f>
        <v>6475.19</v>
      </c>
    </row>
    <row r="37" spans="1:3" x14ac:dyDescent="0.2">
      <c r="A37" t="s">
        <v>779</v>
      </c>
      <c r="B37" s="239">
        <v>28395</v>
      </c>
      <c r="C37" s="239">
        <v>5656.92</v>
      </c>
    </row>
    <row r="38" spans="1:3" x14ac:dyDescent="0.2">
      <c r="A38" t="s">
        <v>780</v>
      </c>
      <c r="B38" s="239">
        <v>4845</v>
      </c>
      <c r="C38" s="239">
        <v>437.97</v>
      </c>
    </row>
    <row r="39" spans="1:3" x14ac:dyDescent="0.2">
      <c r="A39" t="s">
        <v>781</v>
      </c>
      <c r="B39" s="239">
        <v>3000</v>
      </c>
      <c r="C39" s="239">
        <v>380.3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36240</v>
      </c>
      <c r="C40" s="230">
        <f>SUM(C37:C39)</f>
        <v>6475.1900000000005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717</v>
      </c>
      <c r="B2" s="264" t="str">
        <f>'DOE25'!A2</f>
        <v>Strafford School District</v>
      </c>
      <c r="C2" s="180"/>
      <c r="D2" s="180" t="s">
        <v>792</v>
      </c>
      <c r="E2" s="180" t="s">
        <v>794</v>
      </c>
      <c r="F2" s="278" t="s">
        <v>821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7625509.1600000001</v>
      </c>
      <c r="D5" s="20">
        <f>SUM('DOE25'!L197:L200)+SUM('DOE25'!L215:L218)+SUM('DOE25'!L233:L236)-F5-G5</f>
        <v>7559232.9800000004</v>
      </c>
      <c r="E5" s="242"/>
      <c r="F5" s="254">
        <f>SUM('DOE25'!J197:J200)+SUM('DOE25'!J215:J218)+SUM('DOE25'!J233:J236)</f>
        <v>64084.68</v>
      </c>
      <c r="G5" s="53">
        <f>SUM('DOE25'!K197:K200)+SUM('DOE25'!K215:K218)+SUM('DOE25'!K233:K236)</f>
        <v>2191.5</v>
      </c>
      <c r="H5" s="258"/>
    </row>
    <row r="6" spans="1:9" x14ac:dyDescent="0.2">
      <c r="A6" s="32">
        <v>2100</v>
      </c>
      <c r="B6" t="s">
        <v>801</v>
      </c>
      <c r="C6" s="244">
        <f t="shared" si="0"/>
        <v>434135.81000000006</v>
      </c>
      <c r="D6" s="20">
        <f>'DOE25'!L202+'DOE25'!L220+'DOE25'!L238-F6-G6</f>
        <v>432990.81000000006</v>
      </c>
      <c r="E6" s="242"/>
      <c r="F6" s="254">
        <f>'DOE25'!J202+'DOE25'!J220+'DOE25'!J238</f>
        <v>0</v>
      </c>
      <c r="G6" s="53">
        <f>'DOE25'!K202+'DOE25'!K220+'DOE25'!K238</f>
        <v>1145</v>
      </c>
      <c r="H6" s="258"/>
    </row>
    <row r="7" spans="1:9" x14ac:dyDescent="0.2">
      <c r="A7" s="32">
        <v>2200</v>
      </c>
      <c r="B7" t="s">
        <v>834</v>
      </c>
      <c r="C7" s="244">
        <f t="shared" si="0"/>
        <v>154085.62</v>
      </c>
      <c r="D7" s="20">
        <f>'DOE25'!L203+'DOE25'!L221+'DOE25'!L239-F7-G7</f>
        <v>153142.74</v>
      </c>
      <c r="E7" s="242"/>
      <c r="F7" s="254">
        <f>'DOE25'!J203+'DOE25'!J221+'DOE25'!J239</f>
        <v>942.88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258722.64</v>
      </c>
      <c r="D8" s="242"/>
      <c r="E8" s="20">
        <f>'DOE25'!L204+'DOE25'!L222+'DOE25'!L240-F8-G8-D9-D11</f>
        <v>253548.46000000002</v>
      </c>
      <c r="F8" s="254">
        <f>'DOE25'!J204+'DOE25'!J222+'DOE25'!J240</f>
        <v>0</v>
      </c>
      <c r="G8" s="53">
        <f>'DOE25'!K204+'DOE25'!K222+'DOE25'!K240</f>
        <v>5174.18</v>
      </c>
      <c r="H8" s="258"/>
    </row>
    <row r="9" spans="1:9" x14ac:dyDescent="0.2">
      <c r="A9" s="32">
        <v>2310</v>
      </c>
      <c r="B9" t="s">
        <v>818</v>
      </c>
      <c r="C9" s="244">
        <f t="shared" si="0"/>
        <v>29248.25</v>
      </c>
      <c r="D9" s="243">
        <f>40248.25-11000</f>
        <v>29248.25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11000</v>
      </c>
      <c r="D10" s="242"/>
      <c r="E10" s="243">
        <v>11000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110700.88</v>
      </c>
      <c r="D11" s="243">
        <v>110700.88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431776.13</v>
      </c>
      <c r="D12" s="20">
        <f>'DOE25'!L205+'DOE25'!L223+'DOE25'!L241-F12-G12</f>
        <v>427904.09</v>
      </c>
      <c r="E12" s="242"/>
      <c r="F12" s="254">
        <f>'DOE25'!J205+'DOE25'!J223+'DOE25'!J241</f>
        <v>0</v>
      </c>
      <c r="G12" s="53">
        <f>'DOE25'!K205+'DOE25'!K223+'DOE25'!K241</f>
        <v>3872.04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446654.02999999997</v>
      </c>
      <c r="D14" s="20">
        <f>'DOE25'!L207+'DOE25'!L225+'DOE25'!L243-F14-G14</f>
        <v>446461.58999999997</v>
      </c>
      <c r="E14" s="242"/>
      <c r="F14" s="254">
        <f>'DOE25'!J207+'DOE25'!J225+'DOE25'!J243</f>
        <v>192.44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364904.11</v>
      </c>
      <c r="D15" s="20">
        <f>'DOE25'!L208+'DOE25'!L226+'DOE25'!L244-F15-G15</f>
        <v>364904.11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404887.5</v>
      </c>
      <c r="D25" s="242"/>
      <c r="E25" s="242"/>
      <c r="F25" s="257"/>
      <c r="G25" s="255"/>
      <c r="H25" s="256">
        <f>'DOE25'!L260+'DOE25'!L261+'DOE25'!L341+'DOE25'!L342</f>
        <v>404887.5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87935.140000000014</v>
      </c>
      <c r="D29" s="20">
        <f>'DOE25'!L358+'DOE25'!L359+'DOE25'!L360-'DOE25'!I367-F29-G29</f>
        <v>87885.640000000014</v>
      </c>
      <c r="E29" s="242"/>
      <c r="F29" s="254">
        <f>'DOE25'!J358+'DOE25'!J359+'DOE25'!J360</f>
        <v>0</v>
      </c>
      <c r="G29" s="53">
        <f>'DOE25'!K358+'DOE25'!K359+'DOE25'!K360</f>
        <v>49.5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0</v>
      </c>
      <c r="D31" s="20">
        <f>'DOE25'!L290+'DOE25'!L309+'DOE25'!L328+'DOE25'!L333+'DOE25'!L334+'DOE25'!L335-F31-G31</f>
        <v>0</v>
      </c>
      <c r="E31" s="242"/>
      <c r="F31" s="254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9612471.0900000017</v>
      </c>
      <c r="E33" s="245">
        <f>SUM(E5:E31)</f>
        <v>264548.46000000002</v>
      </c>
      <c r="F33" s="245">
        <f>SUM(F5:F31)</f>
        <v>65220</v>
      </c>
      <c r="G33" s="245">
        <f>SUM(G5:G31)</f>
        <v>12432.220000000001</v>
      </c>
      <c r="H33" s="245">
        <f>SUM(H5:H31)</f>
        <v>404887.5</v>
      </c>
    </row>
    <row r="35" spans="2:8" ht="12" thickBot="1" x14ac:dyDescent="0.25">
      <c r="B35" s="252" t="s">
        <v>847</v>
      </c>
      <c r="D35" s="253">
        <f>E33</f>
        <v>264548.46000000002</v>
      </c>
      <c r="E35" s="248"/>
    </row>
    <row r="36" spans="2:8" ht="12" thickTop="1" x14ac:dyDescent="0.2">
      <c r="B36" t="s">
        <v>815</v>
      </c>
      <c r="D36" s="20">
        <f>D33</f>
        <v>9612471.0900000017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1093411.8799999999</v>
      </c>
      <c r="D8" s="95">
        <f>'DOE25'!G9</f>
        <v>0</v>
      </c>
      <c r="E8" s="95">
        <f>'DOE25'!H9</f>
        <v>0</v>
      </c>
      <c r="F8" s="95">
        <f>'DOE25'!I9</f>
        <v>72976.820000000007</v>
      </c>
      <c r="G8" s="95">
        <f>'DOE25'!J9</f>
        <v>523058.75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28103.93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5189.3999999999996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11736.02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13885.73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1105147.8999999999</v>
      </c>
      <c r="D18" s="41">
        <f>SUM(D8:D17)</f>
        <v>47179.06</v>
      </c>
      <c r="E18" s="41">
        <f>SUM(E8:E17)</f>
        <v>0</v>
      </c>
      <c r="F18" s="41">
        <f>SUM(F8:F17)</f>
        <v>72976.820000000007</v>
      </c>
      <c r="G18" s="41">
        <f>SUM(G8:G17)</f>
        <v>523058.75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4758.6400000000003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123190.61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198016.4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49691.07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375656.72000000003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13885.73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33293.33</v>
      </c>
      <c r="E47" s="95">
        <f>'DOE25'!H48</f>
        <v>0</v>
      </c>
      <c r="F47" s="95">
        <f>'DOE25'!I48</f>
        <v>72976.820000000007</v>
      </c>
      <c r="G47" s="95">
        <f>'DOE25'!J48</f>
        <v>523058.75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679491.18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729491.18</v>
      </c>
      <c r="D50" s="41">
        <f>SUM(D34:D49)</f>
        <v>47179.06</v>
      </c>
      <c r="E50" s="41">
        <f>SUM(E34:E49)</f>
        <v>0</v>
      </c>
      <c r="F50" s="41">
        <f>SUM(F34:F49)</f>
        <v>72976.820000000007</v>
      </c>
      <c r="G50" s="41">
        <f>SUM(G34:G49)</f>
        <v>523058.75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1105147.9000000001</v>
      </c>
      <c r="D51" s="41">
        <f>D50+D31</f>
        <v>47179.06</v>
      </c>
      <c r="E51" s="41">
        <f>E50+E31</f>
        <v>0</v>
      </c>
      <c r="F51" s="41">
        <f>F50+F31</f>
        <v>72976.820000000007</v>
      </c>
      <c r="G51" s="41">
        <f>G50+G31</f>
        <v>523058.75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7253722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25329.599999999999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4819.5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111.05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125477.38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171894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202154.15</v>
      </c>
      <c r="D62" s="130">
        <f>SUM(D57:D61)</f>
        <v>125477.38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7455876.1500000004</v>
      </c>
      <c r="D63" s="22">
        <f>D56+D62</f>
        <v>125477.38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2103097.7599999998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1094844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3197941.7599999998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62482.5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29960.37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2901.4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92442.87</v>
      </c>
      <c r="D78" s="130">
        <f>SUM(D72:D77)</f>
        <v>2901.4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3290384.63</v>
      </c>
      <c r="D81" s="130">
        <f>SUM(D79:D80)+D78+D70</f>
        <v>2901.4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46494.33</v>
      </c>
      <c r="D88" s="95">
        <f>SUM('DOE25'!G153:G161)</f>
        <v>54988.12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46494.33</v>
      </c>
      <c r="D91" s="131">
        <f>SUM(D85:D90)</f>
        <v>54988.12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10792755.110000001</v>
      </c>
      <c r="D104" s="86">
        <f>D63+D81+D91+D103</f>
        <v>183366.9</v>
      </c>
      <c r="E104" s="86">
        <f>E63+E81+E91+E103</f>
        <v>0</v>
      </c>
      <c r="F104" s="86">
        <f>F63+F81+F91+F103</f>
        <v>0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6199238.5999999996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1376204.44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50066.12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7625509.1599999992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434135.81000000006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154085.62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398671.77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431776.13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446654.02999999997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364904.11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152265.79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2230227.4700000002</v>
      </c>
      <c r="D128" s="86">
        <f>SUM(D118:D127)</f>
        <v>152265.79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214887.5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3000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457887.5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10313624.129999999</v>
      </c>
      <c r="D145" s="86">
        <f>(D115+D128+D144)</f>
        <v>152265.79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4695000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4695000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190000</v>
      </c>
    </row>
    <row r="159" spans="1:9" x14ac:dyDescent="0.2">
      <c r="A159" s="22" t="s">
        <v>35</v>
      </c>
      <c r="B159" s="137">
        <f>'DOE25'!F498</f>
        <v>4505000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4505000</v>
      </c>
    </row>
    <row r="160" spans="1:9" x14ac:dyDescent="0.2">
      <c r="A160" s="22" t="s">
        <v>36</v>
      </c>
      <c r="B160" s="137">
        <f>'DOE25'!F499</f>
        <v>1983856.25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1983856.25</v>
      </c>
    </row>
    <row r="161" spans="1:7" x14ac:dyDescent="0.2">
      <c r="A161" s="22" t="s">
        <v>37</v>
      </c>
      <c r="B161" s="137">
        <f>'DOE25'!F500</f>
        <v>6488856.25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6488856.25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200000</v>
      </c>
    </row>
    <row r="163" spans="1:7" x14ac:dyDescent="0.2">
      <c r="A163" s="22" t="s">
        <v>39</v>
      </c>
      <c r="B163" s="137">
        <f>'DOE25'!F502</f>
        <v>208087.5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208087.5</v>
      </c>
    </row>
    <row r="164" spans="1:7" x14ac:dyDescent="0.2">
      <c r="A164" s="22" t="s">
        <v>246</v>
      </c>
      <c r="B164" s="137">
        <f>'DOE25'!F503</f>
        <v>408087.5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408087.5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6" t="s">
        <v>717</v>
      </c>
      <c r="B2" s="185" t="str">
        <f>'DOE25'!A2</f>
        <v>Strafford School District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13802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705</v>
      </c>
      <c r="C7" s="178">
        <f>IF('DOE25'!I665+'DOE25'!I670=0,0,ROUND('DOE25'!I672,0))</f>
        <v>13802</v>
      </c>
    </row>
    <row r="9" spans="1:4" x14ac:dyDescent="0.2">
      <c r="A9" s="186" t="s">
        <v>94</v>
      </c>
      <c r="B9" s="187" t="s">
        <v>909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6199239</v>
      </c>
      <c r="D10" s="181">
        <f>ROUND((C10/$C$28)*100,1)</f>
        <v>61.4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1376204</v>
      </c>
      <c r="D11" s="181">
        <f>ROUND((C11/$C$28)*100,1)</f>
        <v>13.6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50066</v>
      </c>
      <c r="D13" s="181">
        <f>ROUND((C13/$C$28)*100,1)</f>
        <v>0.5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434136</v>
      </c>
      <c r="D15" s="181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154086</v>
      </c>
      <c r="D16" s="181">
        <f t="shared" si="0"/>
        <v>1.5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398672</v>
      </c>
      <c r="D17" s="181">
        <f t="shared" si="0"/>
        <v>3.9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431776</v>
      </c>
      <c r="D18" s="181">
        <f t="shared" si="0"/>
        <v>4.3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446654</v>
      </c>
      <c r="D20" s="181">
        <f t="shared" si="0"/>
        <v>4.4000000000000004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364904</v>
      </c>
      <c r="D21" s="181">
        <f t="shared" si="0"/>
        <v>3.6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214888</v>
      </c>
      <c r="D25" s="181">
        <f t="shared" si="0"/>
        <v>2.1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3000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26788.619999999995</v>
      </c>
      <c r="D27" s="181">
        <f t="shared" si="0"/>
        <v>0.3</v>
      </c>
    </row>
    <row r="28" spans="1:4" x14ac:dyDescent="0.2">
      <c r="B28" s="186" t="s">
        <v>723</v>
      </c>
      <c r="C28" s="179">
        <f>SUM(C10:C27)</f>
        <v>10100413.619999999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729</v>
      </c>
      <c r="C30" s="179">
        <f>SUM(C28:C29)</f>
        <v>10100413.619999999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190000</v>
      </c>
    </row>
    <row r="34" spans="1:4" x14ac:dyDescent="0.2">
      <c r="A34" s="186" t="s">
        <v>94</v>
      </c>
      <c r="B34" s="187" t="s">
        <v>910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7253722</v>
      </c>
      <c r="D35" s="181">
        <f t="shared" ref="D35:D40" si="1">ROUND((C35/$C$41)*100,1)</f>
        <v>66.900000000000006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202154.14999999944</v>
      </c>
      <c r="D36" s="181">
        <f t="shared" si="1"/>
        <v>1.9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3197942</v>
      </c>
      <c r="D37" s="181">
        <f t="shared" si="1"/>
        <v>29.5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95344</v>
      </c>
      <c r="D38" s="181">
        <f t="shared" si="1"/>
        <v>0.9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101482</v>
      </c>
      <c r="D39" s="181">
        <f t="shared" si="1"/>
        <v>0.9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10850644.149999999</v>
      </c>
      <c r="D41" s="183">
        <f>SUM(D35:D40)</f>
        <v>100.10000000000002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Strafford School District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>
        <v>3</v>
      </c>
      <c r="B4" s="218">
        <v>1990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6"/>
      <c r="AB29" s="206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6"/>
      <c r="AO29" s="206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6"/>
      <c r="BB29" s="206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6"/>
      <c r="BO29" s="206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6"/>
      <c r="CB29" s="206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6"/>
      <c r="CO29" s="206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6"/>
      <c r="DB29" s="206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6"/>
      <c r="DO29" s="206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6"/>
      <c r="EB29" s="206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6"/>
      <c r="EO29" s="206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6"/>
      <c r="FB29" s="206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6"/>
      <c r="FO29" s="206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6"/>
      <c r="GB29" s="206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6"/>
      <c r="GO29" s="206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6"/>
      <c r="HB29" s="206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6"/>
      <c r="HO29" s="206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6"/>
      <c r="IB29" s="206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6"/>
      <c r="IO29" s="206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6"/>
      <c r="AB30" s="206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6"/>
      <c r="AO30" s="206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6"/>
      <c r="BB30" s="206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6"/>
      <c r="BO30" s="206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6"/>
      <c r="CB30" s="206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6"/>
      <c r="CO30" s="206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6"/>
      <c r="DB30" s="206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6"/>
      <c r="DO30" s="206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6"/>
      <c r="EB30" s="206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6"/>
      <c r="EO30" s="206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6"/>
      <c r="FB30" s="206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6"/>
      <c r="FO30" s="206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6"/>
      <c r="GB30" s="206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6"/>
      <c r="GO30" s="206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6"/>
      <c r="HB30" s="206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6"/>
      <c r="HO30" s="206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6"/>
      <c r="IB30" s="206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6"/>
      <c r="IO30" s="206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6"/>
      <c r="AB31" s="206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6"/>
      <c r="AO31" s="206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6"/>
      <c r="BB31" s="206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6"/>
      <c r="BO31" s="206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6"/>
      <c r="CB31" s="206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6"/>
      <c r="CO31" s="206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6"/>
      <c r="DB31" s="206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6"/>
      <c r="DO31" s="206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6"/>
      <c r="EB31" s="206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6"/>
      <c r="EO31" s="206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6"/>
      <c r="FB31" s="206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6"/>
      <c r="FO31" s="206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6"/>
      <c r="GB31" s="206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6"/>
      <c r="GO31" s="206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6"/>
      <c r="HB31" s="206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6"/>
      <c r="HO31" s="206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6"/>
      <c r="IB31" s="206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6"/>
      <c r="IO31" s="206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6"/>
      <c r="AB38" s="206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6"/>
      <c r="AO38" s="206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6"/>
      <c r="BB38" s="206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6"/>
      <c r="BO38" s="206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6"/>
      <c r="CB38" s="206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6"/>
      <c r="CO38" s="206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6"/>
      <c r="DB38" s="206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6"/>
      <c r="DO38" s="206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6"/>
      <c r="EB38" s="206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6"/>
      <c r="EO38" s="206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6"/>
      <c r="FB38" s="206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6"/>
      <c r="FO38" s="206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6"/>
      <c r="GB38" s="206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6"/>
      <c r="GO38" s="206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6"/>
      <c r="HB38" s="206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6"/>
      <c r="HO38" s="206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6"/>
      <c r="IB38" s="206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6"/>
      <c r="IO38" s="206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6"/>
      <c r="AB39" s="206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6"/>
      <c r="AO39" s="206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6"/>
      <c r="BB39" s="206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6"/>
      <c r="BO39" s="206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6"/>
      <c r="CB39" s="206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6"/>
      <c r="CO39" s="206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6"/>
      <c r="DB39" s="206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6"/>
      <c r="DO39" s="206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6"/>
      <c r="EB39" s="206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6"/>
      <c r="EO39" s="206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6"/>
      <c r="FB39" s="206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6"/>
      <c r="FO39" s="206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6"/>
      <c r="GB39" s="206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6"/>
      <c r="GO39" s="206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6"/>
      <c r="HB39" s="206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6"/>
      <c r="HO39" s="206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6"/>
      <c r="IB39" s="206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6"/>
      <c r="IO39" s="206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6"/>
      <c r="AB40" s="206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6"/>
      <c r="AO40" s="206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6"/>
      <c r="BB40" s="206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6"/>
      <c r="BO40" s="206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6"/>
      <c r="CB40" s="206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6"/>
      <c r="CO40" s="206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6"/>
      <c r="DB40" s="206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6"/>
      <c r="DO40" s="206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6"/>
      <c r="EB40" s="206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6"/>
      <c r="EO40" s="206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6"/>
      <c r="FB40" s="206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6"/>
      <c r="FO40" s="206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6"/>
      <c r="GB40" s="206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6"/>
      <c r="GO40" s="206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6"/>
      <c r="HB40" s="206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6"/>
      <c r="HO40" s="206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6"/>
      <c r="IB40" s="206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6"/>
      <c r="IO40" s="206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0"/>
      <c r="B74" s="210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0"/>
      <c r="B75" s="210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0"/>
      <c r="B76" s="210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0"/>
      <c r="B77" s="210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0"/>
      <c r="B78" s="210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0"/>
      <c r="B79" s="210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0"/>
      <c r="B80" s="210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0"/>
      <c r="B81" s="210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0"/>
      <c r="B82" s="210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0"/>
      <c r="B83" s="210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0"/>
      <c r="B84" s="210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0"/>
      <c r="B85" s="210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0"/>
      <c r="B86" s="210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0"/>
      <c r="B87" s="210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0"/>
      <c r="B88" s="210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0"/>
      <c r="B89" s="210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0"/>
      <c r="B90" s="210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2015-10-22T16:18:14Z</cp:lastPrinted>
  <dcterms:created xsi:type="dcterms:W3CDTF">1997-12-04T19:04:30Z</dcterms:created>
  <dcterms:modified xsi:type="dcterms:W3CDTF">2015-12-10T18:15:06Z</dcterms:modified>
</cp:coreProperties>
</file>