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268" i="1" l="1"/>
  <c r="H233" i="1"/>
  <c r="C19" i="12" l="1"/>
  <c r="B19" i="12"/>
  <c r="C20" i="12"/>
  <c r="B20" i="12"/>
  <c r="C10" i="12"/>
  <c r="B10" i="12"/>
  <c r="C11" i="12"/>
  <c r="B11" i="12"/>
  <c r="H208" i="1"/>
  <c r="H244" i="1"/>
  <c r="H591" i="1"/>
  <c r="H595" i="1"/>
  <c r="J592" i="1"/>
  <c r="H592" i="1"/>
  <c r="H575" i="1"/>
  <c r="F582" i="1"/>
  <c r="H582" i="1"/>
  <c r="H543" i="1"/>
  <c r="H541" i="1"/>
  <c r="K531" i="1"/>
  <c r="I531" i="1"/>
  <c r="H531" i="1"/>
  <c r="H521" i="1"/>
  <c r="H523" i="1"/>
  <c r="H526" i="1"/>
  <c r="G521" i="1"/>
  <c r="F521" i="1"/>
  <c r="I197" i="1"/>
  <c r="H358" i="1"/>
  <c r="I276" i="1"/>
  <c r="G276" i="1"/>
  <c r="F276" i="1"/>
  <c r="J276" i="1"/>
  <c r="H276" i="1"/>
  <c r="H277" i="1"/>
  <c r="H315" i="1"/>
  <c r="J207" i="1"/>
  <c r="I207" i="1"/>
  <c r="H207" i="1"/>
  <c r="G207" i="1"/>
  <c r="F207" i="1"/>
  <c r="K205" i="1"/>
  <c r="I205" i="1"/>
  <c r="H205" i="1"/>
  <c r="G205" i="1"/>
  <c r="F205" i="1"/>
  <c r="K204" i="1"/>
  <c r="H204" i="1"/>
  <c r="G204" i="1"/>
  <c r="F204" i="1"/>
  <c r="G203" i="1"/>
  <c r="F203" i="1"/>
  <c r="K203" i="1"/>
  <c r="J203" i="1"/>
  <c r="I203" i="1"/>
  <c r="H203" i="1"/>
  <c r="I202" i="1"/>
  <c r="H202" i="1"/>
  <c r="G202" i="1"/>
  <c r="F202" i="1"/>
  <c r="K200" i="1"/>
  <c r="J200" i="1"/>
  <c r="I200" i="1"/>
  <c r="G200" i="1"/>
  <c r="F200" i="1"/>
  <c r="H234" i="1"/>
  <c r="H198" i="1"/>
  <c r="G198" i="1"/>
  <c r="F198" i="1"/>
  <c r="J197" i="1"/>
  <c r="H197" i="1"/>
  <c r="G197" i="1"/>
  <c r="F197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C20" i="10" s="1"/>
  <c r="L243" i="1"/>
  <c r="F15" i="13"/>
  <c r="G15" i="13"/>
  <c r="L208" i="1"/>
  <c r="L226" i="1"/>
  <c r="L244" i="1"/>
  <c r="G651" i="1" s="1"/>
  <c r="F17" i="13"/>
  <c r="G17" i="13"/>
  <c r="D17" i="13" s="1"/>
  <c r="C17" i="13" s="1"/>
  <c r="L251" i="1"/>
  <c r="F18" i="13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E118" i="2" s="1"/>
  <c r="L282" i="1"/>
  <c r="L283" i="1"/>
  <c r="E120" i="2" s="1"/>
  <c r="L284" i="1"/>
  <c r="L285" i="1"/>
  <c r="L286" i="1"/>
  <c r="L287" i="1"/>
  <c r="E124" i="2" s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351" i="1" s="1"/>
  <c r="L255" i="1"/>
  <c r="L336" i="1"/>
  <c r="F22" i="13" s="1"/>
  <c r="C22" i="13" s="1"/>
  <c r="C11" i="13"/>
  <c r="C10" i="13"/>
  <c r="C9" i="13"/>
  <c r="L361" i="1"/>
  <c r="L362" i="1" s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G147" i="1"/>
  <c r="G162" i="1"/>
  <c r="H147" i="1"/>
  <c r="H162" i="1"/>
  <c r="H169" i="1" s="1"/>
  <c r="I147" i="1"/>
  <c r="I162" i="1"/>
  <c r="I169" i="1" s="1"/>
  <c r="C13" i="10"/>
  <c r="L250" i="1"/>
  <c r="L332" i="1"/>
  <c r="L254" i="1"/>
  <c r="L268" i="1"/>
  <c r="C142" i="2" s="1"/>
  <c r="L269" i="1"/>
  <c r="L349" i="1"/>
  <c r="L350" i="1"/>
  <c r="I665" i="1"/>
  <c r="I670" i="1"/>
  <c r="G661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1" i="2"/>
  <c r="C112" i="2"/>
  <c r="E112" i="2"/>
  <c r="C113" i="2"/>
  <c r="E113" i="2"/>
  <c r="C114" i="2"/>
  <c r="D115" i="2"/>
  <c r="F115" i="2"/>
  <c r="G115" i="2"/>
  <c r="E119" i="2"/>
  <c r="E121" i="2"/>
  <c r="E122" i="2"/>
  <c r="E123" i="2"/>
  <c r="C125" i="2"/>
  <c r="E125" i="2"/>
  <c r="D127" i="2"/>
  <c r="D128" i="2" s="1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G641" i="1" s="1"/>
  <c r="J641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H571" i="1" s="1"/>
  <c r="I560" i="1"/>
  <c r="J560" i="1"/>
  <c r="J571" i="1" s="1"/>
  <c r="K560" i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H641" i="1"/>
  <c r="G643" i="1"/>
  <c r="H643" i="1"/>
  <c r="G644" i="1"/>
  <c r="G650" i="1"/>
  <c r="G652" i="1"/>
  <c r="H652" i="1"/>
  <c r="G653" i="1"/>
  <c r="H653" i="1"/>
  <c r="G654" i="1"/>
  <c r="H654" i="1"/>
  <c r="H655" i="1"/>
  <c r="J655" i="1" s="1"/>
  <c r="F192" i="1"/>
  <c r="C26" i="10"/>
  <c r="D50" i="2"/>
  <c r="E13" i="13"/>
  <c r="C13" i="13" s="1"/>
  <c r="H112" i="1"/>
  <c r="K571" i="1"/>
  <c r="L419" i="1"/>
  <c r="J643" i="1"/>
  <c r="I476" i="1"/>
  <c r="H625" i="1" s="1"/>
  <c r="J625" i="1" s="1"/>
  <c r="F169" i="1"/>
  <c r="F571" i="1"/>
  <c r="K550" i="1"/>
  <c r="C29" i="10"/>
  <c r="L393" i="1"/>
  <c r="H25" i="13"/>
  <c r="C25" i="13" s="1"/>
  <c r="L560" i="1"/>
  <c r="F338" i="1"/>
  <c r="F352" i="1" s="1"/>
  <c r="H192" i="1"/>
  <c r="L570" i="1"/>
  <c r="I545" i="1"/>
  <c r="G36" i="2"/>
  <c r="C138" i="2"/>
  <c r="G408" i="1" l="1"/>
  <c r="H645" i="1" s="1"/>
  <c r="L270" i="1"/>
  <c r="C35" i="10"/>
  <c r="L290" i="1"/>
  <c r="D29" i="13"/>
  <c r="C29" i="13" s="1"/>
  <c r="D7" i="13"/>
  <c r="C7" i="13" s="1"/>
  <c r="C118" i="2"/>
  <c r="L614" i="1"/>
  <c r="K503" i="1"/>
  <c r="G476" i="1"/>
  <c r="H623" i="1" s="1"/>
  <c r="J623" i="1" s="1"/>
  <c r="H476" i="1"/>
  <c r="H624" i="1" s="1"/>
  <c r="J634" i="1"/>
  <c r="I52" i="1"/>
  <c r="H620" i="1" s="1"/>
  <c r="E31" i="2"/>
  <c r="G112" i="1"/>
  <c r="K545" i="1"/>
  <c r="F661" i="1"/>
  <c r="D18" i="13"/>
  <c r="C18" i="13" s="1"/>
  <c r="L229" i="1"/>
  <c r="C19" i="10"/>
  <c r="G624" i="1"/>
  <c r="K605" i="1"/>
  <c r="G648" i="1" s="1"/>
  <c r="L539" i="1"/>
  <c r="G545" i="1"/>
  <c r="H408" i="1"/>
  <c r="H644" i="1" s="1"/>
  <c r="H338" i="1"/>
  <c r="H352" i="1" s="1"/>
  <c r="C123" i="2"/>
  <c r="F18" i="2"/>
  <c r="K551" i="1"/>
  <c r="H552" i="1"/>
  <c r="C11" i="10"/>
  <c r="H33" i="13"/>
  <c r="F78" i="2"/>
  <c r="F81" i="2" s="1"/>
  <c r="D31" i="2"/>
  <c r="D51" i="2" s="1"/>
  <c r="A31" i="12"/>
  <c r="E16" i="13"/>
  <c r="C16" i="13" s="1"/>
  <c r="A13" i="12"/>
  <c r="G161" i="2"/>
  <c r="F112" i="1"/>
  <c r="C36" i="10" s="1"/>
  <c r="K598" i="1"/>
  <c r="G647" i="1" s="1"/>
  <c r="J651" i="1"/>
  <c r="H545" i="1"/>
  <c r="J552" i="1"/>
  <c r="L534" i="1"/>
  <c r="L524" i="1"/>
  <c r="F552" i="1"/>
  <c r="K549" i="1"/>
  <c r="F476" i="1"/>
  <c r="H622" i="1" s="1"/>
  <c r="J622" i="1" s="1"/>
  <c r="J644" i="1"/>
  <c r="J640" i="1"/>
  <c r="I446" i="1"/>
  <c r="G642" i="1" s="1"/>
  <c r="J642" i="1" s="1"/>
  <c r="L401" i="1"/>
  <c r="C139" i="2" s="1"/>
  <c r="I661" i="1"/>
  <c r="D145" i="2"/>
  <c r="H661" i="1"/>
  <c r="J338" i="1"/>
  <c r="J352" i="1" s="1"/>
  <c r="E109" i="2"/>
  <c r="E115" i="2" s="1"/>
  <c r="L328" i="1"/>
  <c r="L338" i="1" s="1"/>
  <c r="L352" i="1" s="1"/>
  <c r="G633" i="1" s="1"/>
  <c r="J633" i="1" s="1"/>
  <c r="C21" i="10"/>
  <c r="D91" i="2"/>
  <c r="J257" i="1"/>
  <c r="J271" i="1" s="1"/>
  <c r="E128" i="2"/>
  <c r="E103" i="2"/>
  <c r="C78" i="2"/>
  <c r="C81" i="2" s="1"/>
  <c r="L247" i="1"/>
  <c r="C121" i="2"/>
  <c r="C120" i="2"/>
  <c r="G164" i="2"/>
  <c r="G156" i="2"/>
  <c r="E78" i="2"/>
  <c r="E81" i="2" s="1"/>
  <c r="E62" i="2"/>
  <c r="E63" i="2" s="1"/>
  <c r="G157" i="2"/>
  <c r="H647" i="1"/>
  <c r="F662" i="1"/>
  <c r="I662" i="1" s="1"/>
  <c r="D15" i="13"/>
  <c r="C15" i="13" s="1"/>
  <c r="G649" i="1"/>
  <c r="J649" i="1" s="1"/>
  <c r="C124" i="2"/>
  <c r="D14" i="13"/>
  <c r="C14" i="13" s="1"/>
  <c r="D12" i="13"/>
  <c r="C12" i="13" s="1"/>
  <c r="C119" i="2"/>
  <c r="C17" i="10"/>
  <c r="E8" i="13"/>
  <c r="C8" i="13" s="1"/>
  <c r="C16" i="10"/>
  <c r="G257" i="1"/>
  <c r="G271" i="1" s="1"/>
  <c r="D81" i="2"/>
  <c r="C70" i="2"/>
  <c r="D18" i="2"/>
  <c r="C18" i="2"/>
  <c r="K257" i="1"/>
  <c r="K271" i="1" s="1"/>
  <c r="I257" i="1"/>
  <c r="I271" i="1" s="1"/>
  <c r="G81" i="2"/>
  <c r="D62" i="2"/>
  <c r="D63" i="2" s="1"/>
  <c r="F257" i="1"/>
  <c r="F271" i="1" s="1"/>
  <c r="C15" i="10"/>
  <c r="D6" i="13"/>
  <c r="C6" i="13" s="1"/>
  <c r="H257" i="1"/>
  <c r="H271" i="1" s="1"/>
  <c r="C10" i="10"/>
  <c r="C109" i="2"/>
  <c r="C115" i="2" s="1"/>
  <c r="L211" i="1"/>
  <c r="D5" i="13"/>
  <c r="C5" i="13" s="1"/>
  <c r="G645" i="1"/>
  <c r="J645" i="1" s="1"/>
  <c r="C9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A22" i="12"/>
  <c r="J652" i="1"/>
  <c r="G571" i="1"/>
  <c r="I434" i="1"/>
  <c r="G434" i="1"/>
  <c r="I663" i="1"/>
  <c r="C27" i="10"/>
  <c r="G635" i="1"/>
  <c r="J635" i="1" s="1"/>
  <c r="I193" i="1" l="1"/>
  <c r="G630" i="1" s="1"/>
  <c r="J630" i="1" s="1"/>
  <c r="L408" i="1"/>
  <c r="G637" i="1" s="1"/>
  <c r="J637" i="1" s="1"/>
  <c r="C141" i="2"/>
  <c r="C144" i="2" s="1"/>
  <c r="K552" i="1"/>
  <c r="J624" i="1"/>
  <c r="L257" i="1"/>
  <c r="L271" i="1" s="1"/>
  <c r="G632" i="1" s="1"/>
  <c r="J632" i="1" s="1"/>
  <c r="G51" i="2"/>
  <c r="F193" i="1"/>
  <c r="G627" i="1" s="1"/>
  <c r="J627" i="1" s="1"/>
  <c r="J647" i="1"/>
  <c r="L545" i="1"/>
  <c r="E145" i="2"/>
  <c r="H660" i="1"/>
  <c r="H664" i="1" s="1"/>
  <c r="H672" i="1" s="1"/>
  <c r="C6" i="10" s="1"/>
  <c r="F104" i="2"/>
  <c r="H648" i="1"/>
  <c r="J648" i="1" s="1"/>
  <c r="D104" i="2"/>
  <c r="E104" i="2"/>
  <c r="D31" i="13"/>
  <c r="C31" i="13" s="1"/>
  <c r="C128" i="2"/>
  <c r="E33" i="13"/>
  <c r="D35" i="13" s="1"/>
  <c r="C104" i="2"/>
  <c r="G672" i="1"/>
  <c r="C5" i="10" s="1"/>
  <c r="C28" i="10"/>
  <c r="D24" i="10" s="1"/>
  <c r="F660" i="1"/>
  <c r="F664" i="1" s="1"/>
  <c r="F672" i="1" s="1"/>
  <c r="C4" i="10" s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46" i="1"/>
  <c r="J646" i="1" s="1"/>
  <c r="H667" i="1"/>
  <c r="D33" i="13"/>
  <c r="D36" i="13" s="1"/>
  <c r="I660" i="1"/>
  <c r="I664" i="1" s="1"/>
  <c r="I672" i="1" s="1"/>
  <c r="C7" i="10" s="1"/>
  <c r="D11" i="10"/>
  <c r="D23" i="10"/>
  <c r="D15" i="10"/>
  <c r="D10" i="10"/>
  <c r="D21" i="10"/>
  <c r="D20" i="10"/>
  <c r="D16" i="10"/>
  <c r="D13" i="10"/>
  <c r="C30" i="10"/>
  <c r="D19" i="10"/>
  <c r="D26" i="10"/>
  <c r="D25" i="10"/>
  <c r="D22" i="10"/>
  <c r="D27" i="10"/>
  <c r="D18" i="10"/>
  <c r="D17" i="10"/>
  <c r="D12" i="10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<sst xmlns="http://schemas.openxmlformats.org/spreadsheetml/2006/main" count="3954" uniqueCount="912">
  <si>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</si>
  <si>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</si>
  <si>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</si>
  <si>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</si>
  <si>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</si>
  <si>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</si>
  <si>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</si>
  <si>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</si>
  <si>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</si>
  <si>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</si>
  <si>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</si>
  <si>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</si>
  <si>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</si>
  <si>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</si>
  <si>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</si>
  <si>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</si>
  <si>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</si>
  <si>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</si>
  <si>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</si>
  <si>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</si>
  <si>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</si>
  <si>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</si>
  <si>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</si>
  <si>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</si>
  <si>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</si>
  <si>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</si>
  <si>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</si>
  <si>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</si>
  <si>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</si>
  <si>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</si>
  <si>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</si>
  <si>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</si>
  <si>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</si>
  <si>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</si>
  <si>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</si>
  <si>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</si>
  <si>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</si>
  <si>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</si>
  <si>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</si>
  <si>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</si>
  <si>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</si>
  <si>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</si>
  <si>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</si>
  <si>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</si>
  <si>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</si>
  <si>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</si>
  <si>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</si>
  <si>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</si>
  <si>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</si>
  <si>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</si>
  <si>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</si>
  <si>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</si>
  <si>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</si>
  <si>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</si>
  <si>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</si>
  <si>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</si>
  <si>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</si>
  <si>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</si>
  <si>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</si>
  <si>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</si>
  <si>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</si>
  <si>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</si>
  <si>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</si>
  <si>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</si>
  <si>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</si>
  <si>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</si>
  <si>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</si>
  <si>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</si>
  <si>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</si>
  <si>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</si>
  <si>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</si>
  <si>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</si>
  <si>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</si>
  <si>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</si>
  <si>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</si>
  <si>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</si>
  <si>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</si>
  <si>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</si>
  <si>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</si>
  <si>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</si>
  <si>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</si>
  <si>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</si>
  <si>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</si>
  <si>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</si>
  <si>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</si>
  <si>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</si>
  <si>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</si>
  <si>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</si>
  <si>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</si>
  <si>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</si>
  <si>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</si>
  <si>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</si>
  <si>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</si>
  <si>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</si>
  <si>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</si>
  <si>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</si>
  <si>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</si>
  <si>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</si>
  <si>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</si>
  <si>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</si>
  <si>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</si>
  <si>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</si>
  <si>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</si>
  <si>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</si>
  <si>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</si>
  <si>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</si>
  <si>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</si>
  <si>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</si>
  <si>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</si>
  <si>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</si>
  <si>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</si>
  <si>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</si>
  <si>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</si>
  <si>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</si>
  <si>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</si>
  <si>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</si>
  <si>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</si>
  <si>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</si>
  <si>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</si>
  <si>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</si>
  <si>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</si>
  <si>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</si>
  <si>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</si>
  <si>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</si>
  <si>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</si>
  <si>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</si>
  <si>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</si>
  <si>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</si>
  <si>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</si>
  <si>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</si>
  <si>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</si>
  <si>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</si>
  <si>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</si>
  <si>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</si>
  <si>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</si>
  <si>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</si>
  <si>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</si>
  <si>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</si>
  <si>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</si>
  <si>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</si>
  <si>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</si>
  <si>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</si>
  <si>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</si>
  <si>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</si>
  <si>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</si>
  <si>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</si>
  <si>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</si>
  <si>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</si>
  <si>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</si>
  <si>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</si>
  <si>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</si>
  <si>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</si>
  <si>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</si>
  <si>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</si>
  <si>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</si>
  <si>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</si>
  <si>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</si>
  <si>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</si>
  <si>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</si>
  <si>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</si>
  <si>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</si>
  <si>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</si>
  <si>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</si>
  <si>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</si>
  <si>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</si>
  <si>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</si>
  <si>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</si>
  <si>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</si>
  <si>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</si>
  <si>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</si>
  <si>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</si>
  <si>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</si>
  <si>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</si>
  <si>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</si>
  <si>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</si>
  <si>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</si>
  <si>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</si>
  <si>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</si>
  <si>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</si>
  <si>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</si>
  <si>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</si>
  <si>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</si>
  <si>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</si>
  <si>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</si>
  <si>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</si>
  <si>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</si>
  <si>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</si>
  <si>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</si>
  <si>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</si>
  <si>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</si>
  <si>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</si>
  <si>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</si>
  <si>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</si>
  <si>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</si>
  <si>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</si>
  <si>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</si>
  <si>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</si>
  <si>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</si>
  <si>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</si>
  <si>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</si>
  <si>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</si>
  <si>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</si>
  <si>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</si>
  <si>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</si>
  <si>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</si>
  <si>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</si>
  <si>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</si>
  <si>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</si>
  <si>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</si>
  <si>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</si>
  <si>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</si>
  <si>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</si>
  <si>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</si>
  <si>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</si>
  <si>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</si>
  <si>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</si>
  <si>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</si>
  <si>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</si>
  <si>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</si>
  <si>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</si>
  <si>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</si>
  <si>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</si>
  <si>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</si>
  <si>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</si>
  <si>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</si>
  <si>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</si>
  <si>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</si>
  <si>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</si>
  <si>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</si>
  <si>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</si>
  <si>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</si>
  <si>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</si>
  <si>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</si>
  <si>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</si>
  <si>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</si>
  <si>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</si>
  <si>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</si>
  <si>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</si>
  <si>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</si>
  <si>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</si>
  <si>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</si>
  <si>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</si>
  <si>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</si>
  <si>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</si>
  <si>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</si>
  <si>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</si>
  <si>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</si>
  <si>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</si>
  <si>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</si>
  <si>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</si>
  <si>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</si>
  <si>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</si>
  <si>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</si>
  <si>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</si>
  <si>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</si>
  <si>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</si>
  <si>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</si>
  <si>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</si>
  <si>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</si>
  <si>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</si>
  <si>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</si>
  <si>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</si>
  <si>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</si>
  <si>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</si>
  <si>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</si>
  <si>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</si>
  <si>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</si>
  <si>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</si>
  <si>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</si>
  <si>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</si>
  <si>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</si>
  <si>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</si>
  <si>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</si>
  <si>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</si>
  <si>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</si>
  <si>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</si>
  <si>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</si>
  <si>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</si>
  <si>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</si>
  <si>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</si>
  <si>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</si>
  <si>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</si>
  <si>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</si>
  <si>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</si>
  <si>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</si>
  <si>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</si>
  <si>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</si>
  <si>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</si>
  <si>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</si>
  <si>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</si>
  <si>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</si>
  <si>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</si>
  <si>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</si>
  <si>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</si>
  <si>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</si>
  <si>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</si>
  <si>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</si>
  <si>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</si>
  <si>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</si>
  <si>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</si>
  <si>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</si>
  <si>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</si>
  <si>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</si>
  <si>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</si>
  <si>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</si>
  <si>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</si>
  <si>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</si>
  <si>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</si>
  <si>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</si>
  <si>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</si>
  <si>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</si>
  <si>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</si>
  <si>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</si>
  <si>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</si>
  <si>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</si>
  <si>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</si>
  <si>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</si>
  <si>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</si>
  <si>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</si>
  <si>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</si>
  <si>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</si>
  <si>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</si>
  <si>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</si>
  <si>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</si>
  <si>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</si>
  <si>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</si>
  <si>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</si>
  <si>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</si>
  <si>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</si>
  <si>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</si>
  <si>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</si>
  <si>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</si>
  <si>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</si>
  <si>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</si>
  <si>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</si>
  <si>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</si>
  <si>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</si>
  <si>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</si>
  <si>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</si>
  <si>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</si>
  <si>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</si>
  <si>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</si>
  <si>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</si>
  <si>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</si>
  <si>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</si>
  <si>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</si>
  <si>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</si>
  <si>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</si>
  <si>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</si>
  <si>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</si>
  <si>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</si>
  <si>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</si>
  <si>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</si>
  <si>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</si>
  <si>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</si>
  <si>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</si>
  <si>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</si>
  <si>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</si>
  <si>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</si>
  <si>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</si>
  <si>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</si>
  <si>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</si>
  <si>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</si>
  <si>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</si>
  <si>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</si>
  <si>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</si>
  <si>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</si>
  <si>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</si>
  <si>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</si>
  <si>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</si>
  <si>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</si>
  <si>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</si>
  <si>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</si>
  <si>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</si>
  <si>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</si>
  <si>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</si>
  <si>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</si>
  <si>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</si>
  <si>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</si>
  <si>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</si>
  <si>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</si>
  <si>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</si>
  <si>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</si>
  <si>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</si>
  <si>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</si>
  <si>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</si>
  <si>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</si>
  <si>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</si>
  <si>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</si>
  <si>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</si>
  <si>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</si>
  <si>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</si>
  <si>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</si>
  <si>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</si>
  <si>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</si>
  <si>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</si>
  <si>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</si>
  <si>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</si>
  <si>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</si>
  <si>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</si>
  <si>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</si>
  <si>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</si>
  <si>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</si>
  <si>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</si>
  <si>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</si>
  <si>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</si>
  <si>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</si>
  <si>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</si>
  <si>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</si>
  <si>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</si>
  <si>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</si>
  <si>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</si>
  <si>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</si>
  <si>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</si>
  <si>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</si>
  <si>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</si>
  <si>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</si>
  <si>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</si>
  <si>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</si>
  <si>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</si>
  <si>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</si>
  <si>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</si>
  <si>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</si>
  <si>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</si>
  <si>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</si>
  <si>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</si>
  <si>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</si>
  <si>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</si>
  <si>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</si>
  <si>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</si>
  <si>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</si>
  <si>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</si>
  <si>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</si>
  <si>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</si>
  <si>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</si>
  <si>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</si>
  <si>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</si>
  <si>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</si>
  <si>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</si>
  <si>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</si>
  <si>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</si>
  <si>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</si>
  <si>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</si>
  <si>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</si>
  <si>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</si>
  <si>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</si>
  <si>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</si>
  <si>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</si>
  <si>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</si>
  <si>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</si>
  <si>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</si>
  <si>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</si>
  <si>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</si>
  <si>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</si>
  <si>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</si>
  <si>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</si>
  <si>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</si>
  <si>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</si>
  <si>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</si>
  <si>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</si>
  <si>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</si>
  <si>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</si>
  <si>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</si>
  <si>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</si>
  <si>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</si>
  <si>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</si>
  <si>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</si>
  <si>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</si>
  <si>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</si>
  <si>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</si>
  <si>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</si>
  <si>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</si>
  <si>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</si>
  <si>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</si>
  <si>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</si>
  <si>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</si>
  <si>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</si>
  <si>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</si>
  <si>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</si>
  <si>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</si>
  <si>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</si>
  <si>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</si>
  <si>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</si>
  <si>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</si>
  <si>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</si>
  <si>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</si>
  <si>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</si>
  <si>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</si>
  <si>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</si>
  <si>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</si>
  <si>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</si>
  <si>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</si>
  <si>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</si>
  <si>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</si>
  <si>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</si>
  <si>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</si>
  <si>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</si>
  <si>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</si>
  <si>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</si>
  <si>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</si>
  <si>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</si>
  <si>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</si>
  <si>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</si>
  <si>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</si>
  <si>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</si>
  <si>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</si>
  <si>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</si>
  <si>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</si>
  <si>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</si>
  <si>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</si>
  <si>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</si>
  <si>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</si>
  <si>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</si>
  <si>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</si>
  <si>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</si>
  <si>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</si>
  <si>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</si>
  <si>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</si>
  <si>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</si>
  <si>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</si>
  <si>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</si>
  <si>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</si>
  <si>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</si>
  <si>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</si>
  <si>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</si>
  <si>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</si>
  <si>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</si>
  <si>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</si>
  <si>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</si>
  <si>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</si>
  <si>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</si>
  <si>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</si>
  <si>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</si>
  <si>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</si>
  <si>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</si>
  <si>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</si>
  <si>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</si>
  <si>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</si>
  <si>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</si>
  <si>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</si>
  <si>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</si>
  <si>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</si>
  <si>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</si>
  <si>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</si>
  <si>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</si>
  <si>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</si>
  <si>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</si>
  <si>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</si>
  <si>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</si>
  <si>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</si>
  <si>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</si>
  <si>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</si>
  <si>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</si>
  <si>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</si>
  <si>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</si>
  <si>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</si>
  <si>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</si>
  <si>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</si>
  <si>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</si>
  <si>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</si>
  <si>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</si>
  <si>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</si>
  <si>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</si>
  <si>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</si>
  <si>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</si>
  <si>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</si>
  <si>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</si>
  <si>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</si>
  <si>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</si>
  <si>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</si>
  <si>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</si>
  <si>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</si>
  <si>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</si>
  <si>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</si>
  <si>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</si>
  <si>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</si>
  <si>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</si>
  <si>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</si>
  <si>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</si>
  <si>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</si>
  <si>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</si>
  <si>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</si>
  <si>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</si>
  <si>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</si>
  <si>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</si>
  <si>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</si>
  <si>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</si>
  <si>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</si>
  <si>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</si>
  <si>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</si>
  <si>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</si>
  <si>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</si>
  <si>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</si>
  <si>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</si>
  <si>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</si>
  <si>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</si>
  <si>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</si>
  <si>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</si>
  <si>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</si>
  <si>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</si>
  <si>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</si>
  <si>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</si>
  <si>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</si>
  <si>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</si>
  <si>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</si>
  <si>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</si>
  <si>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</si>
  <si>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</si>
  <si>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</si>
  <si>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</si>
  <si>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</si>
  <si>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</si>
  <si>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</si>
  <si>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</si>
  <si>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</si>
  <si>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</si>
  <si>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</si>
  <si>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</si>
  <si>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</si>
  <si>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</si>
  <si>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</si>
  <si>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</si>
  <si>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</si>
  <si>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</si>
  <si>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</si>
  <si>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</si>
  <si>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</si>
  <si>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</si>
  <si>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</si>
  <si>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</si>
  <si>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</si>
  <si>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</si>
  <si>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</si>
  <si>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</si>
  <si>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</si>
  <si>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</si>
  <si>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</si>
  <si>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</si>
  <si>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</si>
  <si>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</si>
  <si>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</si>
  <si>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</si>
  <si>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</si>
  <si>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</si>
  <si>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</si>
  <si>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</si>
  <si>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</si>
  <si>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</si>
  <si>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</si>
  <si>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</si>
  <si>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</si>
  <si>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</si>
  <si>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</si>
  <si>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</si>
  <si>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</si>
  <si>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</si>
  <si>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</si>
  <si>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</si>
  <si>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</si>
  <si>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</si>
  <si>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</si>
  <si>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</si>
  <si>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</si>
  <si>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</si>
  <si>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</si>
  <si>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</si>
  <si>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</si>
  <si>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</si>
  <si>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</si>
  <si>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</si>
  <si>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</si>
  <si>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</si>
  <si>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</si>
  <si>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</si>
  <si>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</si>
  <si>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</si>
  <si>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</si>
  <si>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</si>
  <si>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</si>
  <si>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</si>
  <si>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</si>
  <si>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</si>
  <si>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</si>
  <si>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</si>
  <si>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</si>
  <si>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</si>
  <si>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</si>
  <si>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</si>
  <si>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</si>
  <si>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</si>
  <si>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</si>
  <si>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</si>
  <si>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</si>
  <si>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</si>
  <si>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</si>
  <si>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</si>
  <si>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</si>
  <si>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</si>
  <si>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</si>
  <si>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</si>
  <si>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</si>
  <si>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</si>
  <si>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</si>
  <si>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</si>
  <si>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</si>
  <si>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</si>
  <si>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</si>
  <si>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</si>
  <si>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</si>
  <si>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</si>
  <si>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</si>
  <si>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</si>
  <si>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</si>
  <si>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</si>
  <si>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</si>
  <si>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</si>
  <si>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</si>
  <si>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</si>
  <si>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</si>
  <si>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</si>
  <si>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</si>
  <si>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</si>
  <si>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</si>
  <si>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</si>
  <si>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</si>
  <si>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</si>
  <si>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</si>
  <si>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</si>
  <si>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</si>
  <si>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</si>
  <si>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</si>
  <si>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</si>
  <si>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</si>
  <si>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</si>
  <si>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</si>
  <si>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</si>
  <si>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</si>
  <si>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</si>
  <si>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</si>
  <si>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</si>
  <si>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</si>
  <si>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</si>
  <si>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</si>
  <si>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</si>
  <si>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</si>
  <si>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</si>
  <si>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</si>
  <si>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</si>
  <si>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</si>
  <si>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</si>
  <si>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</si>
  <si>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</si>
  <si>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</si>
  <si>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</si>
  <si>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</si>
  <si>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</si>
  <si>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</si>
  <si>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</si>
  <si>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</si>
  <si>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</si>
  <si>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</si>
  <si>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</si>
  <si>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</si>
  <si>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</si>
  <si>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</si>
  <si>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</si>
  <si>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</si>
  <si>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</si>
  <si>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</si>
  <si>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</si>
  <si>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</si>
  <si>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</si>
  <si>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</si>
  <si>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</si>
  <si>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</si>
  <si>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</si>
  <si>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</si>
  <si>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</si>
  <si>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</si>
  <si>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</si>
  <si>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</si>
  <si>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</si>
  <si>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</si>
  <si>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</si>
  <si>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</si>
  <si>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</si>
  <si>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</si>
  <si>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</si>
  <si>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</si>
  <si>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</si>
  <si>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</si>
  <si>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</si>
  <si>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</si>
  <si>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</si>
  <si>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</si>
  <si>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</si>
  <si>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</si>
  <si>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</si>
  <si>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</si>
  <si>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</si>
  <si>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</si>
  <si>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</si>
  <si>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</si>
  <si>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</si>
  <si>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</si>
  <si>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</si>
  <si>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</si>
  <si>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</si>
  <si>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</si>
  <si>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</si>
  <si>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</si>
  <si>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</si>
  <si>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</si>
  <si>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</si>
  <si>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</si>
  <si>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</si>
  <si>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</si>
  <si>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</si>
  <si>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</si>
  <si>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</si>
  <si>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</si>
  <si>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</si>
  <si>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</si>
  <si>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</si>
  <si>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</si>
  <si>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</si>
  <si>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</si>
  <si>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</si>
  <si>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</si>
  <si>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</si>
  <si>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</si>
  <si>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</si>
  <si>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</si>
  <si>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</si>
  <si>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</si>
  <si>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</si>
  <si>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</si>
  <si>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</si>
  <si>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</si>
  <si>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</si>
  <si>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</si>
  <si>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</si>
  <si>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</si>
  <si>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</si>
  <si>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</si>
  <si>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</si>
  <si>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</si>
  <si>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</si>
  <si>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</si>
  <si>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</si>
  <si>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</si>
  <si>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</si>
  <si>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</si>
  <si>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</si>
  <si>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</si>
  <si>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</si>
  <si>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</si>
  <si>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</si>
  <si>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</si>
  <si>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</si>
  <si>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</si>
  <si>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</si>
  <si>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</si>
  <si>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</si>
  <si>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</si>
  <si>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</si>
  <si>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</si>
  <si>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</si>
  <si>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</si>
  <si>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</si>
  <si>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</si>
  <si>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</si>
  <si>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</si>
  <si>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</si>
  <si>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</si>
  <si>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</si>
  <si>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</si>
  <si>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</si>
  <si>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</si>
  <si>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</si>
  <si>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</si>
  <si>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</si>
  <si>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</si>
  <si>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</si>
  <si>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</si>
  <si>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</si>
  <si>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</si>
  <si>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</si>
  <si>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</si>
  <si>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</si>
  <si>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</si>
  <si>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</si>
  <si>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</si>
  <si>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</si>
  <si>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</si>
  <si>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</si>
  <si>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</si>
  <si>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</si>
  <si>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</si>
  <si>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</si>
  <si>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</si>
  <si>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</si>
  <si>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</si>
  <si>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</si>
  <si>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</si>
  <si>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</si>
  <si>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</si>
  <si>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</si>
  <si>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</si>
  <si>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</si>
  <si>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</si>
  <si>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STRATFORD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</si>
</sst>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509</v>
      </c>
      <c r="C2" s="21">
        <v>509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10499.85+100025.72</f>
        <v>110525.57</v>
      </c>
      <c r="G9" s="18"/>
      <c r="H9" s="18"/>
      <c r="I9" s="18"/>
      <c r="J9" s="67">
        <f>SUM(I439)</f>
        <v>362091.15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1663.33+20074.93</f>
        <v>21738.260000000002</v>
      </c>
      <c r="G12" s="18">
        <v>0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277.36</v>
      </c>
      <c r="G14" s="18">
        <v>1663.33</v>
      </c>
      <c r="H14" s="18">
        <v>20074.93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132541.19</v>
      </c>
      <c r="G19" s="41">
        <f>SUM(G9:G18)</f>
        <v>1663.33</v>
      </c>
      <c r="H19" s="41">
        <f>SUM(H9:H18)</f>
        <v>20074.93</v>
      </c>
      <c r="I19" s="41">
        <f>SUM(I9:I18)</f>
        <v>0</v>
      </c>
      <c r="J19" s="41">
        <f>SUM(J9:J18)</f>
        <v>362091.15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1663.33</v>
      </c>
      <c r="H22" s="18">
        <v>20074.93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1663.33</v>
      </c>
      <c r="H32" s="41">
        <f>SUM(H22:H31)</f>
        <v>20074.93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362091.15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23973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108568.19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132541.19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362091.15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132541.19</v>
      </c>
      <c r="G52" s="41">
        <f>G51+G32</f>
        <v>1663.33</v>
      </c>
      <c r="H52" s="41">
        <f>H51+H32</f>
        <v>20074.93</v>
      </c>
      <c r="I52" s="41">
        <f>I51+I32</f>
        <v>0</v>
      </c>
      <c r="J52" s="41">
        <f>J51+J32</f>
        <v>362091.15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856219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856219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47250.31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47250.31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618.73</v>
      </c>
      <c r="G96" s="18"/>
      <c r="H96" s="18"/>
      <c r="I96" s="18"/>
      <c r="J96" s="18">
        <v>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8774.77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26672.400000000001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27291.13</v>
      </c>
      <c r="G111" s="41">
        <f>SUM(G96:G110)</f>
        <v>8774.77</v>
      </c>
      <c r="H111" s="41">
        <f>SUM(H96:H110)</f>
        <v>0</v>
      </c>
      <c r="I111" s="41">
        <f>SUM(I96:I110)</f>
        <v>0</v>
      </c>
      <c r="J111" s="41">
        <f>SUM(J96:J110)</f>
        <v>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930760.44000000006</v>
      </c>
      <c r="G112" s="41">
        <f>G60+G111</f>
        <v>8774.77</v>
      </c>
      <c r="H112" s="41">
        <f>H60+H79+H94+H111</f>
        <v>0</v>
      </c>
      <c r="I112" s="41">
        <f>I60+I111</f>
        <v>0</v>
      </c>
      <c r="J112" s="41">
        <f>J60+J111</f>
        <v>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844929.02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102711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947640.02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553.79999999999995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553.79999999999995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947640.02</v>
      </c>
      <c r="G140" s="41">
        <f>G121+SUM(G136:G137)</f>
        <v>553.79999999999995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97155.19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34148.53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28702.86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32383.31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6633.49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6633.49</v>
      </c>
      <c r="G162" s="41">
        <f>SUM(G150:G161)</f>
        <v>28702.86</v>
      </c>
      <c r="H162" s="41">
        <f>SUM(H150:H161)</f>
        <v>163687.03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6633.49</v>
      </c>
      <c r="G169" s="41">
        <f>G147+G162+SUM(G163:G168)</f>
        <v>28702.86</v>
      </c>
      <c r="H169" s="41">
        <f>H147+H162+SUM(H163:H168)</f>
        <v>163687.03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14477.82</v>
      </c>
      <c r="H179" s="18"/>
      <c r="I179" s="18"/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14477.82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14477.82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1885033.95</v>
      </c>
      <c r="G193" s="47">
        <f>G112+G140+G169+G192</f>
        <v>52509.25</v>
      </c>
      <c r="H193" s="47">
        <f>H112+H140+H169+H192</f>
        <v>163687.03</v>
      </c>
      <c r="I193" s="47">
        <f>I112+I140+I169+I192</f>
        <v>0</v>
      </c>
      <c r="J193" s="47">
        <f>J112+J140+J192</f>
        <v>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327867.38+19499.84+3345</f>
        <v>350712.22000000003</v>
      </c>
      <c r="G197" s="18">
        <f>61798.86+2406.09+1800.68+27276.99+42066.06+5203.41+5850</f>
        <v>146402.09</v>
      </c>
      <c r="H197" s="18">
        <f>459+999.61+2580.63+378.88</f>
        <v>4418.12</v>
      </c>
      <c r="I197" s="18">
        <f>9960.1+164+76.53+3570.6+402.75+30.69</f>
        <v>14204.670000000002</v>
      </c>
      <c r="J197" s="18">
        <f>3595.85+100+4821.4+393.88</f>
        <v>8911.1299999999992</v>
      </c>
      <c r="K197" s="18">
        <v>175</v>
      </c>
      <c r="L197" s="19">
        <f>SUM(F197:K197)</f>
        <v>524823.23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38350+14370</f>
        <v>52720</v>
      </c>
      <c r="G198" s="18">
        <f>8026.03+342.42+273.47+4033.17+5430.36+1654.38</f>
        <v>19759.829999999998</v>
      </c>
      <c r="H198" s="18">
        <f>400+11066.69+17923.56-14384+128.8</f>
        <v>15135.05</v>
      </c>
      <c r="I198" s="18"/>
      <c r="J198" s="18"/>
      <c r="K198" s="18"/>
      <c r="L198" s="19">
        <f>SUM(F198:K198)</f>
        <v>87614.88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2315</f>
        <v>2315</v>
      </c>
      <c r="G200" s="18">
        <f>177.12+57.94+228.68</f>
        <v>463.74</v>
      </c>
      <c r="H200" s="18"/>
      <c r="I200" s="18">
        <f>379.34+178.38</f>
        <v>557.72</v>
      </c>
      <c r="J200" s="18">
        <f>118.76</f>
        <v>118.76</v>
      </c>
      <c r="K200" s="18">
        <f>361</f>
        <v>361</v>
      </c>
      <c r="L200" s="19">
        <f>SUM(F200:K200)</f>
        <v>3816.2200000000003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16858.06</f>
        <v>16858.060000000001</v>
      </c>
      <c r="G202" s="18">
        <f>1289.63+330.88</f>
        <v>1620.5100000000002</v>
      </c>
      <c r="H202" s="18">
        <f>236.49+45949.1+14638</f>
        <v>60823.59</v>
      </c>
      <c r="I202" s="18">
        <f>95.42+60-20.69</f>
        <v>134.73000000000002</v>
      </c>
      <c r="J202" s="18"/>
      <c r="K202" s="18"/>
      <c r="L202" s="19">
        <f t="shared" ref="L202:L207" si="0">SUM(F202:K202)</f>
        <v>79436.89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16175.11+16174.89+4833.75</f>
        <v>37183.75</v>
      </c>
      <c r="G203" s="18">
        <f>5732.91+142.82+87.9+1237.34+2290.35+275.73+5732.69+142.6+87.7+1607.14+2290.34+582.97</f>
        <v>20210.490000000002</v>
      </c>
      <c r="H203" s="18">
        <f>1537.22+272.4+46.25</f>
        <v>1855.87</v>
      </c>
      <c r="I203" s="18">
        <f>695.4+2946.48</f>
        <v>3641.88</v>
      </c>
      <c r="J203" s="18">
        <f>94.46</f>
        <v>94.46</v>
      </c>
      <c r="K203" s="18">
        <f>320</f>
        <v>320</v>
      </c>
      <c r="L203" s="19">
        <f t="shared" si="0"/>
        <v>63306.450000000004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1922</f>
        <v>1922</v>
      </c>
      <c r="G204" s="18">
        <f>147.09</f>
        <v>147.09</v>
      </c>
      <c r="H204" s="18">
        <f>154+5382+3495.89+637.5+81255.52</f>
        <v>90924.91</v>
      </c>
      <c r="I204" s="18"/>
      <c r="J204" s="18"/>
      <c r="K204" s="18">
        <f>2040.26</f>
        <v>2040.26</v>
      </c>
      <c r="L204" s="19">
        <f t="shared" si="0"/>
        <v>95034.26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68958.5+27090.69</f>
        <v>96049.19</v>
      </c>
      <c r="G205" s="18">
        <f>13056.35+333.35+395.09+7351.84+2859.64+9764.56+1114.74</f>
        <v>34875.57</v>
      </c>
      <c r="H205" s="18">
        <f>200+63.62+27767.41+591.17</f>
        <v>28622.199999999997</v>
      </c>
      <c r="I205" s="18">
        <f>520.05+9401.45+99.99</f>
        <v>10021.49</v>
      </c>
      <c r="J205" s="18"/>
      <c r="K205" s="18">
        <f>1614.95+824.95</f>
        <v>2439.9</v>
      </c>
      <c r="L205" s="19">
        <f t="shared" si="0"/>
        <v>172008.35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47138+3850+346.15</f>
        <v>51334.15</v>
      </c>
      <c r="G207" s="18">
        <f>17934.83+3910.94+3341.09+1362.89</f>
        <v>26549.75</v>
      </c>
      <c r="H207" s="18">
        <f>17219.02+3750+5500+47853.28+5699+1513.84</f>
        <v>81535.14</v>
      </c>
      <c r="I207" s="18">
        <f>6594.4+14015.19+1180.58+52292.89</f>
        <v>74083.06</v>
      </c>
      <c r="J207" s="18">
        <f>1062.7+11183.33</f>
        <v>12246.03</v>
      </c>
      <c r="K207" s="18"/>
      <c r="L207" s="19">
        <f t="shared" si="0"/>
        <v>245748.12999999998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4"/>
      <c r="G208" s="18"/>
      <c r="H208" s="18">
        <f>95475.62-29597+2679.53-396.45+4020</f>
        <v>72181.7</v>
      </c>
      <c r="I208" s="18"/>
      <c r="J208" s="18"/>
      <c r="K208" s="18"/>
      <c r="L208" s="19">
        <f>SUM(G208:K208)</f>
        <v>72181.7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609094.37</v>
      </c>
      <c r="G211" s="41">
        <f t="shared" si="1"/>
        <v>250029.06999999998</v>
      </c>
      <c r="H211" s="41">
        <f t="shared" si="1"/>
        <v>355496.58</v>
      </c>
      <c r="I211" s="41">
        <f t="shared" si="1"/>
        <v>102643.54999999999</v>
      </c>
      <c r="J211" s="41">
        <f t="shared" si="1"/>
        <v>21370.379999999997</v>
      </c>
      <c r="K211" s="41">
        <f t="shared" si="1"/>
        <v>5336.16</v>
      </c>
      <c r="L211" s="41">
        <f t="shared" si="1"/>
        <v>1343970.1099999999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4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4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423688.81</f>
        <v>423688.81</v>
      </c>
      <c r="I233" s="18"/>
      <c r="J233" s="18"/>
      <c r="K233" s="18"/>
      <c r="L233" s="19">
        <f>SUM(F233:K233)</f>
        <v>423688.81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33108.42+14384</f>
        <v>47492.42</v>
      </c>
      <c r="I234" s="18"/>
      <c r="J234" s="18"/>
      <c r="K234" s="18"/>
      <c r="L234" s="19">
        <f>SUM(F234:K234)</f>
        <v>47492.42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3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>SUM(F239:K239)</f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863</v>
      </c>
      <c r="G240" s="18">
        <v>66</v>
      </c>
      <c r="H240" s="18">
        <v>40850</v>
      </c>
      <c r="I240" s="18"/>
      <c r="J240" s="18"/>
      <c r="K240" s="18">
        <v>917</v>
      </c>
      <c r="L240" s="19">
        <f>SUM(F240:K240)</f>
        <v>42696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4"/>
      <c r="G244" s="18"/>
      <c r="H244" s="18">
        <f>29597+396.45</f>
        <v>29993.45</v>
      </c>
      <c r="I244" s="18"/>
      <c r="J244" s="18"/>
      <c r="K244" s="18"/>
      <c r="L244" s="19">
        <f>SUM(G244:K244)</f>
        <v>29993.45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863</v>
      </c>
      <c r="G247" s="41">
        <f t="shared" si="5"/>
        <v>66</v>
      </c>
      <c r="H247" s="41">
        <f>SUM(H233:H246)</f>
        <v>542024.67999999993</v>
      </c>
      <c r="I247" s="41">
        <f t="shared" si="5"/>
        <v>0</v>
      </c>
      <c r="J247" s="41">
        <f t="shared" si="5"/>
        <v>0</v>
      </c>
      <c r="K247" s="41">
        <f t="shared" si="5"/>
        <v>917</v>
      </c>
      <c r="L247" s="41">
        <f t="shared" si="5"/>
        <v>543870.67999999993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609957.37</v>
      </c>
      <c r="G257" s="41">
        <f t="shared" si="8"/>
        <v>250095.06999999998</v>
      </c>
      <c r="H257" s="41">
        <f t="shared" si="8"/>
        <v>897521.26</v>
      </c>
      <c r="I257" s="41">
        <f t="shared" si="8"/>
        <v>102643.54999999999</v>
      </c>
      <c r="J257" s="41">
        <f t="shared" si="8"/>
        <v>21370.379999999997</v>
      </c>
      <c r="K257" s="41">
        <f t="shared" si="8"/>
        <v>6253.16</v>
      </c>
      <c r="L257" s="41">
        <f t="shared" si="8"/>
        <v>1887840.7899999998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14477.82</v>
      </c>
      <c r="L263" s="19">
        <f>SUM(F263:K263)</f>
        <v>14477.82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f>28795</f>
        <v>28795</v>
      </c>
      <c r="L268" s="19">
        <f t="shared" si="9"/>
        <v>28795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43272.82</v>
      </c>
      <c r="L270" s="41">
        <f t="shared" si="9"/>
        <v>43272.82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609957.37</v>
      </c>
      <c r="G271" s="42">
        <f t="shared" si="11"/>
        <v>250095.06999999998</v>
      </c>
      <c r="H271" s="42">
        <f t="shared" si="11"/>
        <v>897521.26</v>
      </c>
      <c r="I271" s="42">
        <f t="shared" si="11"/>
        <v>102643.54999999999</v>
      </c>
      <c r="J271" s="42">
        <f t="shared" si="11"/>
        <v>21370.379999999997</v>
      </c>
      <c r="K271" s="42">
        <f t="shared" si="11"/>
        <v>49525.979999999996</v>
      </c>
      <c r="L271" s="42">
        <f t="shared" si="11"/>
        <v>1931113.6099999999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3947.13+62794.79+5250+3500</f>
        <v>75491.92</v>
      </c>
      <c r="G276" s="18">
        <f>301.96+345.5+634.76+5732.81+285.42+187.42+4773.17+6170+1905+401.63+531+267.75+70.8</f>
        <v>21607.22</v>
      </c>
      <c r="H276" s="18">
        <f>4597.38+175+75+2645-2460+290+10850</f>
        <v>16172.380000000001</v>
      </c>
      <c r="I276" s="18">
        <f>266.5+530+350+794.82+1040+859.53+900</f>
        <v>4740.8500000000004</v>
      </c>
      <c r="J276" s="18">
        <f>5988.35+5014+2289</f>
        <v>13291.35</v>
      </c>
      <c r="K276" s="18"/>
      <c r="L276" s="19">
        <f>SUM(F276:K276)</f>
        <v>131303.72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f>6991.31+4368+10621+2017</f>
        <v>23997.31</v>
      </c>
      <c r="I277" s="18"/>
      <c r="J277" s="18"/>
      <c r="K277" s="18"/>
      <c r="L277" s="19">
        <f>SUM(F277:K277)</f>
        <v>23997.31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75491.92</v>
      </c>
      <c r="G290" s="42">
        <f t="shared" si="13"/>
        <v>21607.22</v>
      </c>
      <c r="H290" s="42">
        <f t="shared" si="13"/>
        <v>40169.69</v>
      </c>
      <c r="I290" s="42">
        <f t="shared" si="13"/>
        <v>4740.8500000000004</v>
      </c>
      <c r="J290" s="42">
        <f t="shared" si="13"/>
        <v>13291.35</v>
      </c>
      <c r="K290" s="42">
        <f t="shared" si="13"/>
        <v>0</v>
      </c>
      <c r="L290" s="41">
        <f t="shared" si="13"/>
        <v>155301.03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f>4368+4018</f>
        <v>8386</v>
      </c>
      <c r="I315" s="18"/>
      <c r="J315" s="18"/>
      <c r="K315" s="18"/>
      <c r="L315" s="19">
        <f>SUM(F315:K315)</f>
        <v>8386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8386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8386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75491.92</v>
      </c>
      <c r="G338" s="41">
        <f t="shared" si="20"/>
        <v>21607.22</v>
      </c>
      <c r="H338" s="41">
        <f t="shared" si="20"/>
        <v>48555.69</v>
      </c>
      <c r="I338" s="41">
        <f t="shared" si="20"/>
        <v>4740.8500000000004</v>
      </c>
      <c r="J338" s="41">
        <f t="shared" si="20"/>
        <v>13291.35</v>
      </c>
      <c r="K338" s="41">
        <f t="shared" si="20"/>
        <v>0</v>
      </c>
      <c r="L338" s="41">
        <f t="shared" si="20"/>
        <v>163687.03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75491.92</v>
      </c>
      <c r="G352" s="41">
        <f>G338</f>
        <v>21607.22</v>
      </c>
      <c r="H352" s="41">
        <f>H338</f>
        <v>48555.69</v>
      </c>
      <c r="I352" s="41">
        <f>I338</f>
        <v>4740.8500000000004</v>
      </c>
      <c r="J352" s="41">
        <f>J338</f>
        <v>13291.35</v>
      </c>
      <c r="K352" s="47">
        <f>K338+K351</f>
        <v>0</v>
      </c>
      <c r="L352" s="41">
        <f>L338+L351</f>
        <v>163687.03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49167.05+3342.2</f>
        <v>52509.25</v>
      </c>
      <c r="I358" s="18"/>
      <c r="J358" s="18"/>
      <c r="K358" s="18"/>
      <c r="L358" s="13">
        <f>SUM(F358:K358)</f>
        <v>52509.25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52509.25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52509.25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0.5</v>
      </c>
      <c r="I396" s="18"/>
      <c r="J396" s="24" t="s">
        <v>289</v>
      </c>
      <c r="K396" s="24" t="s">
        <v>289</v>
      </c>
      <c r="L396" s="56">
        <f t="shared" si="26"/>
        <v>0.5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0.25</v>
      </c>
      <c r="I397" s="18"/>
      <c r="J397" s="24" t="s">
        <v>289</v>
      </c>
      <c r="K397" s="24" t="s">
        <v>289</v>
      </c>
      <c r="L397" s="56">
        <f t="shared" si="26"/>
        <v>0.25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>
        <v>0.25</v>
      </c>
      <c r="I398" s="18"/>
      <c r="J398" s="24" t="s">
        <v>289</v>
      </c>
      <c r="K398" s="24" t="s">
        <v>289</v>
      </c>
      <c r="L398" s="56">
        <f t="shared" si="26"/>
        <v>0.25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362091.15</v>
      </c>
      <c r="H439" s="18"/>
      <c r="I439" s="56">
        <f t="shared" ref="I439:I445" si="33">SUM(F439:H439)</f>
        <v>362091.15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362091.15</v>
      </c>
      <c r="H446" s="13">
        <f>SUM(H439:H445)</f>
        <v>0</v>
      </c>
      <c r="I446" s="13">
        <f>SUM(I439:I445)</f>
        <v>362091.15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362091.15</v>
      </c>
      <c r="H456" s="18"/>
      <c r="I456" s="56">
        <f t="shared" si="34"/>
        <v>362091.15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362091.15</v>
      </c>
      <c r="H460" s="83">
        <f>SUM(H454:H459)</f>
        <v>0</v>
      </c>
      <c r="I460" s="83">
        <f>SUM(I454:I459)</f>
        <v>362091.15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362091.15</v>
      </c>
      <c r="H461" s="42">
        <f>H452+H460</f>
        <v>0</v>
      </c>
      <c r="I461" s="42">
        <f>I452+I460</f>
        <v>362091.15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178620.85</v>
      </c>
      <c r="G465" s="18"/>
      <c r="H465" s="18"/>
      <c r="I465" s="18"/>
      <c r="J465" s="18">
        <v>362090.15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1885033.95</v>
      </c>
      <c r="G468" s="18">
        <v>52509.25</v>
      </c>
      <c r="H468" s="18">
        <v>163687.03</v>
      </c>
      <c r="I468" s="18"/>
      <c r="J468" s="18">
        <v>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1885033.95</v>
      </c>
      <c r="G470" s="53">
        <f>SUM(G468:G469)</f>
        <v>52509.25</v>
      </c>
      <c r="H470" s="53">
        <f>SUM(H468:H469)</f>
        <v>163687.03</v>
      </c>
      <c r="I470" s="53">
        <f>SUM(I468:I469)</f>
        <v>0</v>
      </c>
      <c r="J470" s="53">
        <f>SUM(J468:J469)</f>
        <v>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1931113.61</v>
      </c>
      <c r="G472" s="18">
        <v>52509.25</v>
      </c>
      <c r="H472" s="18">
        <v>163687.03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1931113.61</v>
      </c>
      <c r="G474" s="53">
        <f>SUM(G472:G473)</f>
        <v>52509.25</v>
      </c>
      <c r="H474" s="53">
        <f>SUM(H472:H473)</f>
        <v>163687.03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132541.18999999994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362091.15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38350+14370</f>
        <v>52720</v>
      </c>
      <c r="G521" s="18">
        <f>8026.03+342.42+273.47+4033.17+5430.36+1654.38+400</f>
        <v>20159.829999999998</v>
      </c>
      <c r="H521" s="18">
        <f>3542.56+128.8</f>
        <v>3671.36</v>
      </c>
      <c r="I521" s="18"/>
      <c r="J521" s="18"/>
      <c r="K521" s="18"/>
      <c r="L521" s="88">
        <f>SUM(F521:K521)</f>
        <v>76551.19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33108.42+14381</f>
        <v>47489.42</v>
      </c>
      <c r="I523" s="18"/>
      <c r="J523" s="18"/>
      <c r="K523" s="18"/>
      <c r="L523" s="88">
        <f>SUM(F523:K523)</f>
        <v>47489.42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52720</v>
      </c>
      <c r="G524" s="108">
        <f t="shared" ref="G524:L524" si="36">SUM(G521:G523)</f>
        <v>20159.829999999998</v>
      </c>
      <c r="H524" s="108">
        <f t="shared" si="36"/>
        <v>51160.78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124040.61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11066.69</f>
        <v>11066.69</v>
      </c>
      <c r="I526" s="18"/>
      <c r="J526" s="18"/>
      <c r="K526" s="18"/>
      <c r="L526" s="88">
        <f>SUM(F526:K526)</f>
        <v>11066.69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11066.69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11066.69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27767.41+591.17</f>
        <v>28358.579999999998</v>
      </c>
      <c r="I531" s="18">
        <f>99.99</f>
        <v>99.99</v>
      </c>
      <c r="J531" s="18"/>
      <c r="K531" s="18">
        <f>824.95</f>
        <v>824.95</v>
      </c>
      <c r="L531" s="88">
        <f>SUM(F531:K531)</f>
        <v>29283.52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28358.579999999998</v>
      </c>
      <c r="I534" s="89">
        <f t="shared" si="38"/>
        <v>99.99</v>
      </c>
      <c r="J534" s="89">
        <f t="shared" si="38"/>
        <v>0</v>
      </c>
      <c r="K534" s="89">
        <f t="shared" si="38"/>
        <v>824.95</v>
      </c>
      <c r="L534" s="89">
        <f t="shared" si="38"/>
        <v>29283.52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605+1678.08</f>
        <v>2283.08</v>
      </c>
      <c r="I541" s="18"/>
      <c r="J541" s="18"/>
      <c r="K541" s="18"/>
      <c r="L541" s="88">
        <f>SUM(F541:K541)</f>
        <v>2283.08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396.45</f>
        <v>396.45</v>
      </c>
      <c r="I543" s="18"/>
      <c r="J543" s="18"/>
      <c r="K543" s="18"/>
      <c r="L543" s="88">
        <f>SUM(F543:K543)</f>
        <v>396.45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2679.5299999999997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2679.5299999999997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52720</v>
      </c>
      <c r="G545" s="89">
        <f t="shared" ref="G545:L545" si="41">G524+G529+G534+G539+G544</f>
        <v>20159.829999999998</v>
      </c>
      <c r="H545" s="89">
        <f t="shared" si="41"/>
        <v>93265.58</v>
      </c>
      <c r="I545" s="89">
        <f t="shared" si="41"/>
        <v>99.99</v>
      </c>
      <c r="J545" s="89">
        <f t="shared" si="41"/>
        <v>0</v>
      </c>
      <c r="K545" s="89">
        <f t="shared" si="41"/>
        <v>824.95</v>
      </c>
      <c r="L545" s="89">
        <f t="shared" si="41"/>
        <v>167070.34999999998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76551.19</v>
      </c>
      <c r="G549" s="87">
        <f>L526</f>
        <v>11066.69</v>
      </c>
      <c r="H549" s="87">
        <f>L531</f>
        <v>29283.52</v>
      </c>
      <c r="I549" s="87">
        <f>L536</f>
        <v>0</v>
      </c>
      <c r="J549" s="87">
        <f>L541</f>
        <v>2283.08</v>
      </c>
      <c r="K549" s="87">
        <f>SUM(F549:J549)</f>
        <v>119184.48000000001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47489.42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396.45</v>
      </c>
      <c r="K551" s="87">
        <f>SUM(F551:J551)</f>
        <v>47885.869999999995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124040.61</v>
      </c>
      <c r="G552" s="89">
        <f t="shared" si="42"/>
        <v>11066.69</v>
      </c>
      <c r="H552" s="89">
        <f t="shared" si="42"/>
        <v>29283.52</v>
      </c>
      <c r="I552" s="89">
        <f t="shared" si="42"/>
        <v>0</v>
      </c>
      <c r="J552" s="89">
        <f t="shared" si="42"/>
        <v>2679.5299999999997</v>
      </c>
      <c r="K552" s="89">
        <f t="shared" si="42"/>
        <v>167070.35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423688.81</f>
        <v>423688.81</v>
      </c>
      <c r="I575" s="87">
        <f>SUM(F575:H575)</f>
        <v>423688.81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3542.56</f>
        <v>3542.56</v>
      </c>
      <c r="G582" s="18"/>
      <c r="H582" s="18">
        <f>14381</f>
        <v>14381</v>
      </c>
      <c r="I582" s="87">
        <f t="shared" si="47"/>
        <v>17923.560000000001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95475.62-29597</f>
        <v>65878.62</v>
      </c>
      <c r="I591" s="18"/>
      <c r="J591" s="18">
        <v>29597</v>
      </c>
      <c r="K591" s="104">
        <f t="shared" ref="K591:K597" si="48">SUM(H591:J591)</f>
        <v>95475.62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605+1678.08</f>
        <v>2283.08</v>
      </c>
      <c r="I592" s="18"/>
      <c r="J592" s="18">
        <f>396.45</f>
        <v>396.45</v>
      </c>
      <c r="K592" s="104">
        <f t="shared" si="48"/>
        <v>2679.5299999999997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4020</f>
        <v>4020</v>
      </c>
      <c r="I595" s="18"/>
      <c r="J595" s="18"/>
      <c r="K595" s="104">
        <f t="shared" si="48"/>
        <v>4020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72181.7</v>
      </c>
      <c r="I598" s="108">
        <f>SUM(I591:I597)</f>
        <v>0</v>
      </c>
      <c r="J598" s="108">
        <f>SUM(J591:J597)</f>
        <v>29993.45</v>
      </c>
      <c r="K598" s="108">
        <f>SUM(K591:K597)</f>
        <v>102175.15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34661.730000000003</v>
      </c>
      <c r="I604" s="18"/>
      <c r="J604" s="18"/>
      <c r="K604" s="104">
        <f>SUM(H604:J604)</f>
        <v>34661.730000000003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34661.730000000003</v>
      </c>
      <c r="I605" s="108">
        <f>SUM(I602:I604)</f>
        <v>0</v>
      </c>
      <c r="J605" s="108">
        <f>SUM(J602:J604)</f>
        <v>0</v>
      </c>
      <c r="K605" s="108">
        <f>SUM(K602:K604)</f>
        <v>34661.730000000003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132541.19</v>
      </c>
      <c r="H617" s="109">
        <f>SUM(F52)</f>
        <v>132541.19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1663.33</v>
      </c>
      <c r="H618" s="109">
        <f>SUM(G52)</f>
        <v>1663.33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20074.93</v>
      </c>
      <c r="H619" s="109">
        <f>SUM(H52)</f>
        <v>20074.93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362091.15</v>
      </c>
      <c r="H621" s="109">
        <f>SUM(J52)</f>
        <v>362091.15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132541.19</v>
      </c>
      <c r="H622" s="109">
        <f>F476</f>
        <v>132541.18999999994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362091.15</v>
      </c>
      <c r="H626" s="109">
        <f>J476</f>
        <v>362091.15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1885033.95</v>
      </c>
      <c r="H627" s="104">
        <f>SUM(F468)</f>
        <v>1885033.95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52509.25</v>
      </c>
      <c r="H628" s="104">
        <f>SUM(G468)</f>
        <v>52509.25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163687.03</v>
      </c>
      <c r="H629" s="104">
        <f>SUM(H468)</f>
        <v>163687.03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</v>
      </c>
      <c r="H631" s="104">
        <f>SUM(J468)</f>
        <v>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1931113.6099999999</v>
      </c>
      <c r="H632" s="104">
        <f>SUM(F472)</f>
        <v>1931113.61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163687.03</v>
      </c>
      <c r="H633" s="104">
        <f>SUM(H472)</f>
        <v>163687.03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52509.25</v>
      </c>
      <c r="H635" s="104">
        <f>SUM(G472)</f>
        <v>52509.25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</v>
      </c>
      <c r="H637" s="164">
        <f>SUM(J468)</f>
        <v>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362091.15</v>
      </c>
      <c r="H640" s="104">
        <f>SUM(G461)</f>
        <v>362091.15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362091.15</v>
      </c>
      <c r="H642" s="104">
        <f>SUM(I461)</f>
        <v>362091.15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</v>
      </c>
      <c r="H644" s="104">
        <f>H408</f>
        <v>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</v>
      </c>
      <c r="H646" s="104">
        <f>L408</f>
        <v>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102175.15</v>
      </c>
      <c r="H647" s="104">
        <f>L208+L226+L244</f>
        <v>102175.15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34661.730000000003</v>
      </c>
      <c r="H648" s="104">
        <f>(J257+J338)-(J255+J336)</f>
        <v>34661.729999999996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72181.7</v>
      </c>
      <c r="H649" s="104">
        <f>H598</f>
        <v>72181.7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29993.45</v>
      </c>
      <c r="H651" s="104">
        <f>J598</f>
        <v>29993.45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14477.82</v>
      </c>
      <c r="H652" s="104">
        <f>K263+K345</f>
        <v>14477.82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1551780.39</v>
      </c>
      <c r="G660" s="19">
        <f>(L229+L309+L359)</f>
        <v>0</v>
      </c>
      <c r="H660" s="19">
        <f>(L247+L328+L360)</f>
        <v>552256.67999999993</v>
      </c>
      <c r="I660" s="19">
        <f>SUM(F660:H660)</f>
        <v>2104037.0699999998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8774.77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8774.77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72181.7</v>
      </c>
      <c r="G662" s="19">
        <f>(L226+L306)-(J226+J306)</f>
        <v>0</v>
      </c>
      <c r="H662" s="19">
        <f>(L244+L325)-(J244+J325)</f>
        <v>29993.45</v>
      </c>
      <c r="I662" s="19">
        <f>SUM(F662:H662)</f>
        <v>102175.15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38204.29</v>
      </c>
      <c r="G663" s="199">
        <f>SUM(G575:G587)+SUM(I602:I604)+L612</f>
        <v>0</v>
      </c>
      <c r="H663" s="199">
        <f>SUM(H575:H587)+SUM(J602:J604)+L613</f>
        <v>438069.81</v>
      </c>
      <c r="I663" s="19">
        <f>SUM(F663:H663)</f>
        <v>476274.1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1432619.63</v>
      </c>
      <c r="G664" s="19">
        <f>G660-SUM(G661:G663)</f>
        <v>0</v>
      </c>
      <c r="H664" s="19">
        <f>H660-SUM(H661:H663)</f>
        <v>84193.419999999925</v>
      </c>
      <c r="I664" s="19">
        <f>I660-SUM(I661:I663)</f>
        <v>1516813.0499999998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60.78</v>
      </c>
      <c r="G665" s="248"/>
      <c r="H665" s="248"/>
      <c r="I665" s="19">
        <f>SUM(F665:H665)</f>
        <v>60.78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23570.58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24955.79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-84193.42</v>
      </c>
      <c r="I669" s="19">
        <f>SUM(F669:H669)</f>
        <v>-84193.42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23570.58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23570.58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STRATFORD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426204.14</v>
      </c>
      <c r="C9" s="229">
        <f>'DOE25'!G197+'DOE25'!G215+'DOE25'!G233+'DOE25'!G276+'DOE25'!G295+'DOE25'!G314</f>
        <v>168009.31</v>
      </c>
    </row>
    <row r="10" spans="1:3" x14ac:dyDescent="0.2">
      <c r="A10" t="s">
        <v>779</v>
      </c>
      <c r="B10" s="240">
        <f>426204.14-3345</f>
        <v>422859.14</v>
      </c>
      <c r="C10" s="240">
        <f>168009.31-255.89</f>
        <v>167753.41999999998</v>
      </c>
    </row>
    <row r="11" spans="1:3" x14ac:dyDescent="0.2">
      <c r="A11" t="s">
        <v>780</v>
      </c>
      <c r="B11" s="240">
        <f>3345</f>
        <v>3345</v>
      </c>
      <c r="C11" s="240">
        <f>255.89</f>
        <v>255.89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426204.14</v>
      </c>
      <c r="C13" s="231">
        <f>SUM(C10:C12)</f>
        <v>168009.31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52720</v>
      </c>
      <c r="C18" s="229">
        <f>'DOE25'!G198+'DOE25'!G216+'DOE25'!G234+'DOE25'!G277+'DOE25'!G296+'DOE25'!G315</f>
        <v>19759.829999999998</v>
      </c>
    </row>
    <row r="19" spans="1:3" x14ac:dyDescent="0.2">
      <c r="A19" t="s">
        <v>779</v>
      </c>
      <c r="B19" s="240">
        <f>52720-32716.45</f>
        <v>20003.55</v>
      </c>
      <c r="C19" s="240">
        <f>19759.83-2502.8</f>
        <v>17257.030000000002</v>
      </c>
    </row>
    <row r="20" spans="1:3" x14ac:dyDescent="0.2">
      <c r="A20" t="s">
        <v>780</v>
      </c>
      <c r="B20" s="240">
        <f>14370+18346.45</f>
        <v>32716.45</v>
      </c>
      <c r="C20" s="240">
        <f>1099.3+1403.5</f>
        <v>2502.8000000000002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52720</v>
      </c>
      <c r="C22" s="231">
        <f>SUM(C19:C21)</f>
        <v>19759.830000000002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2315</v>
      </c>
      <c r="C36" s="235">
        <f>'DOE25'!G200+'DOE25'!G218+'DOE25'!G236+'DOE25'!G279+'DOE25'!G298+'DOE25'!G317</f>
        <v>463.74</v>
      </c>
    </row>
    <row r="37" spans="1:3" x14ac:dyDescent="0.2">
      <c r="A37" t="s">
        <v>779</v>
      </c>
      <c r="B37" s="240">
        <v>2315</v>
      </c>
      <c r="C37" s="240">
        <v>463.74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2315</v>
      </c>
      <c r="C40" s="231">
        <f>SUM(C37:C39)</f>
        <v>463.74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0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STRATFORD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1087435.56</v>
      </c>
      <c r="D5" s="20">
        <f>SUM('DOE25'!L197:L200)+SUM('DOE25'!L215:L218)+SUM('DOE25'!L233:L236)-F5-G5</f>
        <v>1077869.6700000002</v>
      </c>
      <c r="E5" s="243"/>
      <c r="F5" s="255">
        <f>SUM('DOE25'!J197:J200)+SUM('DOE25'!J215:J218)+SUM('DOE25'!J233:J236)</f>
        <v>9029.89</v>
      </c>
      <c r="G5" s="53">
        <f>SUM('DOE25'!K197:K200)+SUM('DOE25'!K215:K218)+SUM('DOE25'!K233:K236)</f>
        <v>536</v>
      </c>
      <c r="H5" s="259"/>
    </row>
    <row r="6" spans="1:9" x14ac:dyDescent="0.2">
      <c r="A6" s="32">
        <v>2100</v>
      </c>
      <c r="B6" t="s">
        <v>801</v>
      </c>
      <c r="C6" s="245">
        <f t="shared" si="0"/>
        <v>79436.89</v>
      </c>
      <c r="D6" s="20">
        <f>'DOE25'!L202+'DOE25'!L220+'DOE25'!L238-F6-G6</f>
        <v>79436.89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63306.450000000004</v>
      </c>
      <c r="D7" s="20">
        <f>'DOE25'!L203+'DOE25'!L221+'DOE25'!L239-F7-G7</f>
        <v>62891.990000000005</v>
      </c>
      <c r="E7" s="243"/>
      <c r="F7" s="255">
        <f>'DOE25'!J203+'DOE25'!J221+'DOE25'!J239</f>
        <v>94.46</v>
      </c>
      <c r="G7" s="53">
        <f>'DOE25'!K203+'DOE25'!K221+'DOE25'!K239</f>
        <v>320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57766.759999999995</v>
      </c>
      <c r="D8" s="243"/>
      <c r="E8" s="20">
        <f>'DOE25'!L204+'DOE25'!L222+'DOE25'!L240-F8-G8-D9-D11</f>
        <v>54809.499999999993</v>
      </c>
      <c r="F8" s="255">
        <f>'DOE25'!J204+'DOE25'!J222+'DOE25'!J240</f>
        <v>0</v>
      </c>
      <c r="G8" s="53">
        <f>'DOE25'!K204+'DOE25'!K222+'DOE25'!K240</f>
        <v>2957.26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19968.740000000002</v>
      </c>
      <c r="D9" s="244">
        <v>19968.740000000002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7800</v>
      </c>
      <c r="D10" s="243"/>
      <c r="E10" s="244">
        <v>7800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59994.76</v>
      </c>
      <c r="D11" s="244">
        <v>59994.76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172008.35</v>
      </c>
      <c r="D12" s="20">
        <f>'DOE25'!L205+'DOE25'!L223+'DOE25'!L241-F12-G12</f>
        <v>169568.45</v>
      </c>
      <c r="E12" s="243"/>
      <c r="F12" s="255">
        <f>'DOE25'!J205+'DOE25'!J223+'DOE25'!J241</f>
        <v>0</v>
      </c>
      <c r="G12" s="53">
        <f>'DOE25'!K205+'DOE25'!K223+'DOE25'!K241</f>
        <v>2439.9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245748.12999999998</v>
      </c>
      <c r="D14" s="20">
        <f>'DOE25'!L207+'DOE25'!L225+'DOE25'!L243-F14-G14</f>
        <v>233502.09999999998</v>
      </c>
      <c r="E14" s="243"/>
      <c r="F14" s="255">
        <f>'DOE25'!J207+'DOE25'!J225+'DOE25'!J243</f>
        <v>12246.03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102175.15</v>
      </c>
      <c r="D15" s="20">
        <f>'DOE25'!L208+'DOE25'!L226+'DOE25'!L244-F15-G15</f>
        <v>102175.15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52509.25</v>
      </c>
      <c r="D29" s="20">
        <f>'DOE25'!L358+'DOE25'!L359+'DOE25'!L360-'DOE25'!I367-F29-G29</f>
        <v>52509.25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163687.03</v>
      </c>
      <c r="D31" s="20">
        <f>'DOE25'!L290+'DOE25'!L309+'DOE25'!L328+'DOE25'!L333+'DOE25'!L334+'DOE25'!L335-F31-G31</f>
        <v>150395.68</v>
      </c>
      <c r="E31" s="243"/>
      <c r="F31" s="255">
        <f>'DOE25'!J290+'DOE25'!J309+'DOE25'!J328+'DOE25'!J333+'DOE25'!J334+'DOE25'!J335</f>
        <v>13291.35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2008312.68</v>
      </c>
      <c r="E33" s="246">
        <f>SUM(E5:E31)</f>
        <v>62609.499999999993</v>
      </c>
      <c r="F33" s="246">
        <f>SUM(F5:F31)</f>
        <v>34661.729999999996</v>
      </c>
      <c r="G33" s="246">
        <f>SUM(G5:G31)</f>
        <v>6253.16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62609.499999999993</v>
      </c>
      <c r="E35" s="249"/>
    </row>
    <row r="36" spans="2:8" ht="12" thickTop="1" x14ac:dyDescent="0.2">
      <c r="B36" t="s">
        <v>815</v>
      </c>
      <c r="D36" s="20">
        <f>D33</f>
        <v>2008312.68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STRATFORD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110525.57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362091.15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21738.260000000002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277.36</v>
      </c>
      <c r="D13" s="95">
        <f>'DOE25'!G14</f>
        <v>1663.33</v>
      </c>
      <c r="E13" s="95">
        <f>'DOE25'!H14</f>
        <v>20074.93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132541.19</v>
      </c>
      <c r="D18" s="41">
        <f>SUM(D8:D17)</f>
        <v>1663.33</v>
      </c>
      <c r="E18" s="41">
        <f>SUM(E8:E17)</f>
        <v>20074.93</v>
      </c>
      <c r="F18" s="41">
        <f>SUM(F8:F17)</f>
        <v>0</v>
      </c>
      <c r="G18" s="41">
        <f>SUM(G8:G17)</f>
        <v>362091.15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1663.33</v>
      </c>
      <c r="E21" s="95">
        <f>'DOE25'!H22</f>
        <v>20074.93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1663.33</v>
      </c>
      <c r="E31" s="41">
        <f>SUM(E21:E30)</f>
        <v>20074.93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362091.15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23973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108568.19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132541.19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362091.15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132541.19</v>
      </c>
      <c r="D51" s="41">
        <f>D50+D31</f>
        <v>1663.33</v>
      </c>
      <c r="E51" s="41">
        <f>E50+E31</f>
        <v>20074.93</v>
      </c>
      <c r="F51" s="41">
        <f>F50+F31</f>
        <v>0</v>
      </c>
      <c r="G51" s="41">
        <f>G50+G31</f>
        <v>362091.15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856219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47250.31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618.73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8774.77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26672.400000000001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74541.440000000002</v>
      </c>
      <c r="D62" s="130">
        <f>SUM(D57:D61)</f>
        <v>8774.77</v>
      </c>
      <c r="E62" s="130">
        <f>SUM(E57:E61)</f>
        <v>0</v>
      </c>
      <c r="F62" s="130">
        <f>SUM(F57:F61)</f>
        <v>0</v>
      </c>
      <c r="G62" s="130">
        <f>SUM(G57:G61)</f>
        <v>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930760.44</v>
      </c>
      <c r="D63" s="22">
        <f>D56+D62</f>
        <v>8774.77</v>
      </c>
      <c r="E63" s="22">
        <f>E56+E62</f>
        <v>0</v>
      </c>
      <c r="F63" s="22">
        <f>F56+F62</f>
        <v>0</v>
      </c>
      <c r="G63" s="22">
        <f>G56+G62</f>
        <v>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844929.02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102711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947640.02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553.79999999999995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553.79999999999995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947640.02</v>
      </c>
      <c r="D81" s="130">
        <f>SUM(D79:D80)+D78+D70</f>
        <v>553.79999999999995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6633.49</v>
      </c>
      <c r="D88" s="95">
        <f>SUM('DOE25'!G153:G161)</f>
        <v>28702.86</v>
      </c>
      <c r="E88" s="95">
        <f>SUM('DOE25'!H153:H161)</f>
        <v>163687.03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6633.49</v>
      </c>
      <c r="D91" s="131">
        <f>SUM(D85:D90)</f>
        <v>28702.86</v>
      </c>
      <c r="E91" s="131">
        <f>SUM(E85:E90)</f>
        <v>163687.03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14477.82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14477.82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1885033.95</v>
      </c>
      <c r="D104" s="86">
        <f>D63+D81+D91+D103</f>
        <v>52509.25</v>
      </c>
      <c r="E104" s="86">
        <f>E63+E81+E91+E103</f>
        <v>163687.03</v>
      </c>
      <c r="F104" s="86">
        <f>F63+F81+F91+F103</f>
        <v>0</v>
      </c>
      <c r="G104" s="86">
        <f>G63+G81+G103</f>
        <v>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948512.04</v>
      </c>
      <c r="D109" s="24" t="s">
        <v>289</v>
      </c>
      <c r="E109" s="95">
        <f>('DOE25'!L276)+('DOE25'!L295)+('DOE25'!L314)</f>
        <v>131303.72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135107.29999999999</v>
      </c>
      <c r="D110" s="24" t="s">
        <v>289</v>
      </c>
      <c r="E110" s="95">
        <f>('DOE25'!L277)+('DOE25'!L296)+('DOE25'!L315)</f>
        <v>32383.31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3816.2200000000003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1087435.56</v>
      </c>
      <c r="D115" s="86">
        <f>SUM(D109:D114)</f>
        <v>0</v>
      </c>
      <c r="E115" s="86">
        <f>SUM(E109:E114)</f>
        <v>163687.03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79436.89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63306.450000000004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137730.26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172008.35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245748.12999999998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102175.15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52509.25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800405.23</v>
      </c>
      <c r="D128" s="86">
        <f>SUM(D118:D127)</f>
        <v>52509.25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14477.82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28795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43272.82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1931113.61</v>
      </c>
      <c r="D145" s="86">
        <f>(D115+D128+D144)</f>
        <v>52509.25</v>
      </c>
      <c r="E145" s="86">
        <f>(E115+E128+E144)</f>
        <v>163687.03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STRATFORD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23571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23571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1079816</v>
      </c>
      <c r="D10" s="182">
        <f>ROUND((C10/$C$28)*100,1)</f>
        <v>50.8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167491</v>
      </c>
      <c r="D11" s="182">
        <f>ROUND((C11/$C$28)*100,1)</f>
        <v>7.9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3816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79437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63306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137730</v>
      </c>
      <c r="D17" s="182">
        <f t="shared" si="0"/>
        <v>6.5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172008</v>
      </c>
      <c r="D18" s="182">
        <f t="shared" si="0"/>
        <v>8.1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245748</v>
      </c>
      <c r="D20" s="182">
        <f t="shared" si="0"/>
        <v>11.6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102175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28795</v>
      </c>
      <c r="D26" s="182">
        <f t="shared" si="0"/>
        <v>1.4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43734.229999999996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2124056.23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2124056.23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856219</v>
      </c>
      <c r="D35" s="182">
        <f t="shared" ref="D35:D40" si="1">ROUND((C35/$C$41)*100,1)</f>
        <v>41.2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74542.440000000061</v>
      </c>
      <c r="D36" s="182">
        <f t="shared" si="1"/>
        <v>3.6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947640</v>
      </c>
      <c r="D37" s="182">
        <f t="shared" si="1"/>
        <v>45.6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554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199023</v>
      </c>
      <c r="D39" s="182">
        <f t="shared" si="1"/>
        <v>9.6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2077978.44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STRATFORD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2015-07-24T15:29:24Z</cp:lastPrinted>
  <dcterms:created xsi:type="dcterms:W3CDTF">1997-12-04T19:04:30Z</dcterms:created>
  <dcterms:modified xsi:type="dcterms:W3CDTF">2015-11-30T14:30:45Z</dcterms:modified>
</cp:coreProperties>
</file>