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6700" windowHeight="1246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16" i="1" l="1"/>
  <c r="G468" i="1"/>
  <c r="F468" i="1" l="1"/>
  <c r="F472" i="1" l="1"/>
  <c r="G40" i="1"/>
  <c r="H198" i="1" l="1"/>
  <c r="F300" i="1" l="1"/>
  <c r="J604" i="1" l="1"/>
  <c r="I604" i="1"/>
  <c r="H604" i="1"/>
  <c r="I591" i="1"/>
  <c r="J591" i="1"/>
  <c r="H591" i="1"/>
  <c r="I594" i="1" l="1"/>
  <c r="I593" i="1"/>
  <c r="J592" i="1"/>
  <c r="I592" i="1"/>
  <c r="H592" i="1"/>
  <c r="F367" i="1"/>
  <c r="G367" i="1"/>
  <c r="H367" i="1"/>
  <c r="I358" i="1"/>
  <c r="I359" i="1"/>
  <c r="I360" i="1"/>
  <c r="J315" i="1" l="1"/>
  <c r="H320" i="1"/>
  <c r="H325" i="1"/>
  <c r="J320" i="1"/>
  <c r="I320" i="1"/>
  <c r="H319" i="1"/>
  <c r="F319" i="1"/>
  <c r="H306" i="1"/>
  <c r="J301" i="1"/>
  <c r="I301" i="1"/>
  <c r="H301" i="1"/>
  <c r="H300" i="1"/>
  <c r="H287" i="1"/>
  <c r="J282" i="1"/>
  <c r="I282" i="1"/>
  <c r="H282" i="1"/>
  <c r="F281" i="1"/>
  <c r="H281" i="1"/>
  <c r="I315" i="1"/>
  <c r="H315" i="1"/>
  <c r="F315" i="1"/>
  <c r="J296" i="1"/>
  <c r="I296" i="1"/>
  <c r="H296" i="1"/>
  <c r="F296" i="1"/>
  <c r="I277" i="1"/>
  <c r="H277" i="1"/>
  <c r="J277" i="1"/>
  <c r="F277" i="1"/>
  <c r="H243" i="1" l="1"/>
  <c r="H225" i="1"/>
  <c r="H207" i="1"/>
  <c r="J244" i="1"/>
  <c r="J226" i="1"/>
  <c r="J208" i="1"/>
  <c r="J197" i="1"/>
  <c r="K240" i="1" l="1"/>
  <c r="K222" i="1"/>
  <c r="K204" i="1"/>
  <c r="J239" i="1"/>
  <c r="J221" i="1"/>
  <c r="I220" i="1"/>
  <c r="I221" i="1"/>
  <c r="I243" i="1"/>
  <c r="I239" i="1"/>
  <c r="I238" i="1"/>
  <c r="I236" i="1"/>
  <c r="I225" i="1"/>
  <c r="I218" i="1"/>
  <c r="I244" i="1"/>
  <c r="I240" i="1"/>
  <c r="I226" i="1"/>
  <c r="I222" i="1"/>
  <c r="I207" i="1"/>
  <c r="I204" i="1"/>
  <c r="I203" i="1"/>
  <c r="I202" i="1"/>
  <c r="I205" i="1"/>
  <c r="I200" i="1"/>
  <c r="I198" i="1"/>
  <c r="I197" i="1"/>
  <c r="H238" i="1"/>
  <c r="H220" i="1"/>
  <c r="H239" i="1"/>
  <c r="H244" i="1"/>
  <c r="H226" i="1"/>
  <c r="H221" i="1"/>
  <c r="H240" i="1"/>
  <c r="H222" i="1"/>
  <c r="H208" i="1"/>
  <c r="H204" i="1"/>
  <c r="H203" i="1"/>
  <c r="H202" i="1"/>
  <c r="H205" i="1"/>
  <c r="H197" i="1"/>
  <c r="G233" i="1" l="1"/>
  <c r="G215" i="1"/>
  <c r="G197" i="1"/>
  <c r="G221" i="1"/>
  <c r="G239" i="1"/>
  <c r="G240" i="1"/>
  <c r="G222" i="1"/>
  <c r="G204" i="1"/>
  <c r="G208" i="1"/>
  <c r="G203" i="1"/>
  <c r="F244" i="1" l="1"/>
  <c r="F243" i="1"/>
  <c r="F241" i="1"/>
  <c r="F240" i="1"/>
  <c r="F239" i="1"/>
  <c r="F238" i="1"/>
  <c r="F236" i="1"/>
  <c r="F234" i="1"/>
  <c r="F233" i="1"/>
  <c r="F226" i="1"/>
  <c r="F225" i="1"/>
  <c r="F223" i="1"/>
  <c r="F222" i="1"/>
  <c r="F221" i="1"/>
  <c r="F220" i="1"/>
  <c r="F218" i="1"/>
  <c r="F216" i="1"/>
  <c r="F215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G651" i="1" s="1"/>
  <c r="F17" i="13"/>
  <c r="G17" i="13"/>
  <c r="L251" i="1"/>
  <c r="F18" i="13"/>
  <c r="D18" i="13" s="1"/>
  <c r="C18" i="13" s="1"/>
  <c r="G18" i="13"/>
  <c r="L252" i="1"/>
  <c r="F19" i="13"/>
  <c r="G19" i="13"/>
  <c r="D19" i="13" s="1"/>
  <c r="C19" i="13" s="1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E111" i="2" s="1"/>
  <c r="L279" i="1"/>
  <c r="L281" i="1"/>
  <c r="L282" i="1"/>
  <c r="E119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E123" i="2" s="1"/>
  <c r="L306" i="1"/>
  <c r="G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C32" i="10" s="1"/>
  <c r="L342" i="1"/>
  <c r="L351" i="1" s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79" i="1"/>
  <c r="C57" i="2" s="1"/>
  <c r="F94" i="1"/>
  <c r="C58" i="2" s="1"/>
  <c r="F111" i="1"/>
  <c r="G111" i="1"/>
  <c r="H79" i="1"/>
  <c r="E57" i="2" s="1"/>
  <c r="E62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L250" i="1"/>
  <c r="L332" i="1"/>
  <c r="L254" i="1"/>
  <c r="L268" i="1"/>
  <c r="C142" i="2" s="1"/>
  <c r="L269" i="1"/>
  <c r="L349" i="1"/>
  <c r="L350" i="1"/>
  <c r="I665" i="1"/>
  <c r="I670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C18" i="2" s="1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F56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D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2" i="2"/>
  <c r="C113" i="2"/>
  <c r="E113" i="2"/>
  <c r="C114" i="2"/>
  <c r="D115" i="2"/>
  <c r="F115" i="2"/>
  <c r="G115" i="2"/>
  <c r="E121" i="2"/>
  <c r="C122" i="2"/>
  <c r="C125" i="2"/>
  <c r="E125" i="2"/>
  <c r="F128" i="2"/>
  <c r="G128" i="2"/>
  <c r="C130" i="2"/>
  <c r="E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G290" i="1"/>
  <c r="H290" i="1"/>
  <c r="I290" i="1"/>
  <c r="F309" i="1"/>
  <c r="G309" i="1"/>
  <c r="G338" i="1" s="1"/>
  <c r="G352" i="1" s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F461" i="1" s="1"/>
  <c r="H639" i="1" s="1"/>
  <c r="G460" i="1"/>
  <c r="G461" i="1" s="1"/>
  <c r="H640" i="1" s="1"/>
  <c r="H460" i="1"/>
  <c r="H461" i="1"/>
  <c r="F470" i="1"/>
  <c r="G470" i="1"/>
  <c r="H470" i="1"/>
  <c r="I470" i="1"/>
  <c r="F474" i="1"/>
  <c r="G474" i="1"/>
  <c r="H474" i="1"/>
  <c r="H476" i="1" s="1"/>
  <c r="H624" i="1" s="1"/>
  <c r="J624" i="1" s="1"/>
  <c r="I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F571" i="1" s="1"/>
  <c r="G560" i="1"/>
  <c r="H560" i="1"/>
  <c r="I560" i="1"/>
  <c r="J560" i="1"/>
  <c r="J571" i="1" s="1"/>
  <c r="K560" i="1"/>
  <c r="L562" i="1"/>
  <c r="L563" i="1"/>
  <c r="L564" i="1"/>
  <c r="F565" i="1"/>
  <c r="G565" i="1"/>
  <c r="H565" i="1"/>
  <c r="I565" i="1"/>
  <c r="I571" i="1" s="1"/>
  <c r="J565" i="1"/>
  <c r="K565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9" i="1"/>
  <c r="G622" i="1"/>
  <c r="G623" i="1"/>
  <c r="G624" i="1"/>
  <c r="H627" i="1"/>
  <c r="H628" i="1"/>
  <c r="H629" i="1"/>
  <c r="H630" i="1"/>
  <c r="H632" i="1"/>
  <c r="H633" i="1"/>
  <c r="H635" i="1"/>
  <c r="H636" i="1"/>
  <c r="G641" i="1"/>
  <c r="H641" i="1"/>
  <c r="J641" i="1" s="1"/>
  <c r="G643" i="1"/>
  <c r="G644" i="1"/>
  <c r="G645" i="1"/>
  <c r="H645" i="1"/>
  <c r="J645" i="1" s="1"/>
  <c r="G650" i="1"/>
  <c r="G652" i="1"/>
  <c r="H652" i="1"/>
  <c r="G653" i="1"/>
  <c r="H653" i="1"/>
  <c r="G654" i="1"/>
  <c r="H654" i="1"/>
  <c r="H655" i="1"/>
  <c r="K257" i="1"/>
  <c r="K271" i="1" s="1"/>
  <c r="A31" i="12"/>
  <c r="D17" i="13"/>
  <c r="C17" i="13" s="1"/>
  <c r="C91" i="2"/>
  <c r="D31" i="2"/>
  <c r="E78" i="2"/>
  <c r="H112" i="1"/>
  <c r="K571" i="1"/>
  <c r="I169" i="1"/>
  <c r="J643" i="1"/>
  <c r="I476" i="1"/>
  <c r="H625" i="1" s="1"/>
  <c r="F169" i="1"/>
  <c r="J140" i="1"/>
  <c r="I552" i="1"/>
  <c r="C29" i="10"/>
  <c r="H140" i="1"/>
  <c r="L393" i="1"/>
  <c r="C138" i="2" s="1"/>
  <c r="F22" i="13"/>
  <c r="L560" i="1"/>
  <c r="G192" i="1"/>
  <c r="J655" i="1"/>
  <c r="G36" i="2"/>
  <c r="C22" i="13"/>
  <c r="F476" i="1" l="1"/>
  <c r="H622" i="1" s="1"/>
  <c r="L270" i="1"/>
  <c r="A40" i="12"/>
  <c r="A13" i="12"/>
  <c r="E118" i="2"/>
  <c r="E31" i="2"/>
  <c r="K605" i="1"/>
  <c r="G648" i="1" s="1"/>
  <c r="K598" i="1"/>
  <c r="G647" i="1" s="1"/>
  <c r="J651" i="1"/>
  <c r="J552" i="1"/>
  <c r="L544" i="1"/>
  <c r="G552" i="1"/>
  <c r="I545" i="1"/>
  <c r="K551" i="1"/>
  <c r="F552" i="1"/>
  <c r="K550" i="1"/>
  <c r="L524" i="1"/>
  <c r="G545" i="1"/>
  <c r="K549" i="1"/>
  <c r="L534" i="1"/>
  <c r="H552" i="1"/>
  <c r="G476" i="1"/>
  <c r="H623" i="1" s="1"/>
  <c r="J623" i="1" s="1"/>
  <c r="D127" i="2"/>
  <c r="D128" i="2" s="1"/>
  <c r="J634" i="1"/>
  <c r="H661" i="1"/>
  <c r="D29" i="13"/>
  <c r="C29" i="13" s="1"/>
  <c r="F661" i="1"/>
  <c r="L328" i="1"/>
  <c r="E124" i="2"/>
  <c r="E122" i="2"/>
  <c r="E120" i="2"/>
  <c r="E128" i="2" s="1"/>
  <c r="J338" i="1"/>
  <c r="J352" i="1" s="1"/>
  <c r="E109" i="2"/>
  <c r="E110" i="2"/>
  <c r="L309" i="1"/>
  <c r="H338" i="1"/>
  <c r="H352" i="1" s="1"/>
  <c r="D14" i="13"/>
  <c r="C14" i="13" s="1"/>
  <c r="E16" i="13"/>
  <c r="C16" i="13" s="1"/>
  <c r="I257" i="1"/>
  <c r="I271" i="1" s="1"/>
  <c r="C12" i="10"/>
  <c r="C21" i="10"/>
  <c r="C19" i="10"/>
  <c r="D7" i="13"/>
  <c r="C7" i="13" s="1"/>
  <c r="G257" i="1"/>
  <c r="G271" i="1" s="1"/>
  <c r="C20" i="10"/>
  <c r="C120" i="2"/>
  <c r="C112" i="2"/>
  <c r="L247" i="1"/>
  <c r="H660" i="1" s="1"/>
  <c r="C10" i="10"/>
  <c r="C109" i="2"/>
  <c r="C123" i="2"/>
  <c r="D12" i="13"/>
  <c r="C12" i="13" s="1"/>
  <c r="C17" i="10"/>
  <c r="C15" i="10"/>
  <c r="C13" i="10"/>
  <c r="D5" i="13"/>
  <c r="C5" i="13" s="1"/>
  <c r="L229" i="1"/>
  <c r="C124" i="2"/>
  <c r="D15" i="13"/>
  <c r="C15" i="13" s="1"/>
  <c r="G649" i="1"/>
  <c r="J649" i="1" s="1"/>
  <c r="F662" i="1"/>
  <c r="H647" i="1"/>
  <c r="C18" i="10"/>
  <c r="C118" i="2"/>
  <c r="D6" i="13"/>
  <c r="C6" i="13" s="1"/>
  <c r="C110" i="2"/>
  <c r="C11" i="10"/>
  <c r="D62" i="2"/>
  <c r="D63" i="2" s="1"/>
  <c r="C35" i="10"/>
  <c r="F112" i="1"/>
  <c r="H52" i="1"/>
  <c r="H619" i="1" s="1"/>
  <c r="J619" i="1" s="1"/>
  <c r="D18" i="2"/>
  <c r="J617" i="1"/>
  <c r="J639" i="1"/>
  <c r="I446" i="1"/>
  <c r="G642" i="1" s="1"/>
  <c r="L401" i="1"/>
  <c r="C139" i="2" s="1"/>
  <c r="H257" i="1"/>
  <c r="H271" i="1" s="1"/>
  <c r="J622" i="1"/>
  <c r="L565" i="1"/>
  <c r="H571" i="1"/>
  <c r="H545" i="1"/>
  <c r="E63" i="2"/>
  <c r="K545" i="1"/>
  <c r="F257" i="1"/>
  <c r="F271" i="1" s="1"/>
  <c r="C161" i="2"/>
  <c r="G161" i="2" s="1"/>
  <c r="K500" i="1"/>
  <c r="F78" i="2"/>
  <c r="F81" i="2" s="1"/>
  <c r="C78" i="2"/>
  <c r="C81" i="2" s="1"/>
  <c r="J545" i="1"/>
  <c r="J640" i="1"/>
  <c r="L419" i="1"/>
  <c r="F338" i="1"/>
  <c r="F352" i="1" s="1"/>
  <c r="J257" i="1"/>
  <c r="J271" i="1" s="1"/>
  <c r="G164" i="2"/>
  <c r="G156" i="2"/>
  <c r="D81" i="2"/>
  <c r="I460" i="1"/>
  <c r="I452" i="1"/>
  <c r="I461" i="1" s="1"/>
  <c r="H642" i="1" s="1"/>
  <c r="J642" i="1" s="1"/>
  <c r="D145" i="2"/>
  <c r="C121" i="2"/>
  <c r="C119" i="2"/>
  <c r="E132" i="2"/>
  <c r="H662" i="1"/>
  <c r="G661" i="1"/>
  <c r="L211" i="1"/>
  <c r="C16" i="10"/>
  <c r="L362" i="1"/>
  <c r="C27" i="10" s="1"/>
  <c r="E13" i="13"/>
  <c r="C13" i="13" s="1"/>
  <c r="E8" i="13"/>
  <c r="C8" i="13" s="1"/>
  <c r="L290" i="1"/>
  <c r="C26" i="10"/>
  <c r="L539" i="1"/>
  <c r="K503" i="1"/>
  <c r="L382" i="1"/>
  <c r="G636" i="1" s="1"/>
  <c r="J636" i="1" s="1"/>
  <c r="K338" i="1"/>
  <c r="K352" i="1" s="1"/>
  <c r="G81" i="2"/>
  <c r="C62" i="2"/>
  <c r="C63" i="2" s="1"/>
  <c r="G112" i="1"/>
  <c r="H25" i="13"/>
  <c r="E81" i="2"/>
  <c r="G625" i="1"/>
  <c r="J625" i="1" s="1"/>
  <c r="L614" i="1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D103" i="2"/>
  <c r="I140" i="1"/>
  <c r="I193" i="1" s="1"/>
  <c r="G630" i="1" s="1"/>
  <c r="J630" i="1" s="1"/>
  <c r="A22" i="12"/>
  <c r="J652" i="1"/>
  <c r="G571" i="1"/>
  <c r="I434" i="1"/>
  <c r="G434" i="1"/>
  <c r="I663" i="1"/>
  <c r="E51" i="2" l="1"/>
  <c r="J647" i="1"/>
  <c r="K552" i="1"/>
  <c r="L545" i="1"/>
  <c r="I661" i="1"/>
  <c r="G635" i="1"/>
  <c r="J635" i="1" s="1"/>
  <c r="E115" i="2"/>
  <c r="H648" i="1"/>
  <c r="J648" i="1" s="1"/>
  <c r="G660" i="1"/>
  <c r="G664" i="1" s="1"/>
  <c r="E145" i="2"/>
  <c r="G638" i="1"/>
  <c r="J472" i="1"/>
  <c r="I662" i="1"/>
  <c r="C115" i="2"/>
  <c r="L257" i="1"/>
  <c r="L271" i="1" s="1"/>
  <c r="G632" i="1" s="1"/>
  <c r="J632" i="1" s="1"/>
  <c r="C128" i="2"/>
  <c r="F660" i="1"/>
  <c r="E104" i="2"/>
  <c r="C104" i="2"/>
  <c r="F193" i="1"/>
  <c r="G627" i="1" s="1"/>
  <c r="J627" i="1" s="1"/>
  <c r="C36" i="10"/>
  <c r="G104" i="2"/>
  <c r="L408" i="1"/>
  <c r="J468" i="1" s="1"/>
  <c r="C141" i="2"/>
  <c r="C144" i="2" s="1"/>
  <c r="C25" i="13"/>
  <c r="H33" i="13"/>
  <c r="C28" i="10"/>
  <c r="D21" i="10" s="1"/>
  <c r="D31" i="13"/>
  <c r="C31" i="13" s="1"/>
  <c r="H664" i="1"/>
  <c r="D104" i="2"/>
  <c r="L338" i="1"/>
  <c r="L352" i="1" s="1"/>
  <c r="G633" i="1" s="1"/>
  <c r="J633" i="1" s="1"/>
  <c r="E33" i="13"/>
  <c r="D35" i="13" s="1"/>
  <c r="C51" i="2"/>
  <c r="G631" i="1"/>
  <c r="G193" i="1"/>
  <c r="G628" i="1" s="1"/>
  <c r="J628" i="1" s="1"/>
  <c r="G626" i="1"/>
  <c r="J52" i="1"/>
  <c r="H621" i="1" s="1"/>
  <c r="J621" i="1" s="1"/>
  <c r="C38" i="10"/>
  <c r="D33" i="13" l="1"/>
  <c r="D36" i="13" s="1"/>
  <c r="J474" i="1"/>
  <c r="H638" i="1"/>
  <c r="J638" i="1" s="1"/>
  <c r="C145" i="2"/>
  <c r="D10" i="10"/>
  <c r="C30" i="10"/>
  <c r="D23" i="10"/>
  <c r="D20" i="10"/>
  <c r="D25" i="10"/>
  <c r="D13" i="10"/>
  <c r="D18" i="10"/>
  <c r="D12" i="10"/>
  <c r="F664" i="1"/>
  <c r="I660" i="1"/>
  <c r="I664" i="1" s="1"/>
  <c r="I672" i="1" s="1"/>
  <c r="C7" i="10" s="1"/>
  <c r="D26" i="10"/>
  <c r="D16" i="10"/>
  <c r="D15" i="10"/>
  <c r="D19" i="10"/>
  <c r="D11" i="10"/>
  <c r="D22" i="10"/>
  <c r="D27" i="10"/>
  <c r="D17" i="10"/>
  <c r="D24" i="10"/>
  <c r="J470" i="1"/>
  <c r="J476" i="1" s="1"/>
  <c r="H626" i="1" s="1"/>
  <c r="J626" i="1" s="1"/>
  <c r="H637" i="1"/>
  <c r="H631" i="1"/>
  <c r="J631" i="1" s="1"/>
  <c r="G637" i="1"/>
  <c r="H646" i="1"/>
  <c r="J646" i="1" s="1"/>
  <c r="H667" i="1"/>
  <c r="H672" i="1"/>
  <c r="C6" i="10" s="1"/>
  <c r="G672" i="1"/>
  <c r="C5" i="10" s="1"/>
  <c r="G667" i="1"/>
  <c r="C41" i="10"/>
  <c r="D38" i="10" s="1"/>
  <c r="D28" i="10" l="1"/>
  <c r="I667" i="1"/>
  <c r="F672" i="1"/>
  <c r="C4" i="10" s="1"/>
  <c r="F667" i="1"/>
  <c r="J637" i="1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<sst xmlns="http://schemas.openxmlformats.org/spreadsheetml/2006/main" count="3954" uniqueCount="912">
  <si>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</si>
  <si>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</si>
  <si>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</si>
  <si>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</si>
  <si>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</si>
  <si>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</si>
  <si>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</si>
  <si>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</si>
  <si>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</si>
  <si>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</si>
  <si>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</si>
  <si>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</si>
  <si>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</si>
  <si>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</si>
  <si>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</si>
  <si>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</si>
  <si>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</si>
  <si>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</si>
  <si>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</si>
  <si>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</si>
  <si>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</si>
  <si>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</si>
  <si>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</si>
  <si>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</si>
  <si>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</si>
  <si>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</si>
  <si>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</si>
  <si>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</si>
  <si>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</si>
  <si>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</si>
  <si>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</si>
  <si>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</si>
  <si>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</si>
  <si>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</si>
  <si>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</si>
  <si>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</si>
  <si>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</si>
  <si>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</si>
  <si>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</si>
  <si>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</si>
  <si>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</si>
  <si>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</si>
  <si>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</si>
  <si>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</si>
  <si>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</si>
  <si>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</si>
  <si>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</si>
  <si>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</si>
  <si>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</si>
  <si>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</si>
  <si>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</si>
  <si>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</si>
  <si>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</si>
  <si>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</si>
  <si>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</si>
  <si>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</si>
  <si>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</si>
  <si>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</si>
  <si>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</si>
  <si>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</si>
  <si>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</si>
  <si>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</si>
  <si>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</si>
  <si>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</si>
  <si>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</si>
  <si>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</si>
  <si>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</si>
  <si>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</si>
  <si>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</si>
  <si>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</si>
  <si>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</si>
  <si>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</si>
  <si>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</si>
  <si>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</si>
  <si>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</si>
  <si>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</si>
  <si>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</si>
  <si>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</si>
  <si>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</si>
  <si>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</si>
  <si>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</si>
  <si>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</si>
  <si>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</si>
  <si>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</si>
  <si>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</si>
  <si>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</si>
  <si>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</si>
  <si>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</si>
  <si>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</si>
  <si>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</si>
  <si>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</si>
  <si>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</si>
  <si>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</si>
  <si>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</si>
  <si>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</si>
  <si>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</si>
  <si>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</si>
  <si>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</si>
  <si>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</si>
  <si>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</si>
  <si>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</si>
  <si>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</si>
  <si>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</si>
  <si>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</si>
  <si>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</si>
  <si>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</si>
  <si>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</si>
  <si>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</si>
  <si>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</si>
  <si>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</si>
  <si>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</si>
  <si>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</si>
  <si>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</si>
  <si>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</si>
  <si>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</si>
  <si>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</si>
  <si>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</si>
  <si>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</si>
  <si>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</si>
  <si>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</si>
  <si>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</si>
  <si>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</si>
  <si>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</si>
  <si>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</si>
  <si>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</si>
  <si>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</si>
  <si>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</si>
  <si>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</si>
  <si>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</si>
  <si>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</si>
  <si>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</si>
  <si>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</si>
  <si>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</si>
  <si>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</si>
  <si>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</si>
  <si>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</si>
  <si>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</si>
  <si>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</si>
  <si>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</si>
  <si>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</si>
  <si>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</si>
  <si>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</si>
  <si>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</si>
  <si>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</si>
  <si>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</si>
  <si>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</si>
  <si>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</si>
  <si>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</si>
  <si>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</si>
  <si>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</si>
  <si>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</si>
  <si>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</si>
  <si>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</si>
  <si>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</si>
  <si>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</si>
  <si>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</si>
  <si>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</si>
  <si>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</si>
  <si>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</si>
  <si>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</si>
  <si>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</si>
  <si>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</si>
  <si>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</si>
  <si>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</si>
  <si>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</si>
  <si>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</si>
  <si>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</si>
  <si>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</si>
  <si>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</si>
  <si>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</si>
  <si>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</si>
  <si>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</si>
  <si>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</si>
  <si>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</si>
  <si>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</si>
  <si>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</si>
  <si>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</si>
  <si>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</si>
  <si>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</si>
  <si>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</si>
  <si>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</si>
  <si>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</si>
  <si>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</si>
  <si>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</si>
  <si>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</si>
  <si>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</si>
  <si>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</si>
  <si>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</si>
  <si>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</si>
  <si>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</si>
  <si>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</si>
  <si>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</si>
  <si>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</si>
  <si>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</si>
  <si>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</si>
  <si>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</si>
  <si>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</si>
  <si>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</si>
  <si>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</si>
  <si>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</si>
  <si>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</si>
  <si>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</si>
  <si>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</si>
  <si>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</si>
  <si>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</si>
  <si>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</si>
  <si>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</si>
  <si>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</si>
  <si>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</si>
  <si>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</si>
  <si>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</si>
  <si>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</si>
  <si>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</si>
  <si>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</si>
  <si>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</si>
  <si>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</si>
  <si>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</si>
  <si>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</si>
  <si>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</si>
  <si>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</si>
  <si>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</si>
  <si>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</si>
  <si>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</si>
  <si>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</si>
  <si>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</si>
  <si>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</si>
  <si>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</si>
  <si>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</si>
  <si>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</si>
  <si>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</si>
  <si>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</si>
  <si>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</si>
  <si>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</si>
  <si>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</si>
  <si>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</si>
  <si>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</si>
  <si>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</si>
  <si>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</si>
  <si>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</si>
  <si>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</si>
  <si>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</si>
  <si>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</si>
  <si>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</si>
  <si>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</si>
  <si>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</si>
  <si>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</si>
  <si>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</si>
  <si>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</si>
  <si>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</si>
  <si>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</si>
  <si>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</si>
  <si>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</si>
  <si>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</si>
  <si>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</si>
  <si>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</si>
  <si>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</si>
  <si>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</si>
  <si>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</si>
  <si>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</si>
  <si>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</si>
  <si>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</si>
  <si>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</si>
  <si>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</si>
  <si>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</si>
  <si>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</si>
  <si>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</si>
  <si>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</si>
  <si>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</si>
  <si>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</si>
  <si>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</si>
  <si>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</si>
  <si>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</si>
  <si>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</si>
  <si>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</si>
  <si>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</si>
  <si>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</si>
  <si>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</si>
  <si>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</si>
  <si>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</si>
  <si>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</si>
  <si>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</si>
  <si>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</si>
  <si>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</si>
  <si>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</si>
  <si>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</si>
  <si>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</si>
  <si>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</si>
  <si>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</si>
  <si>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</si>
  <si>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</si>
  <si>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</si>
  <si>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</si>
  <si>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</si>
  <si>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</si>
  <si>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</si>
  <si>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</si>
  <si>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</si>
  <si>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</si>
  <si>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</si>
  <si>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</si>
  <si>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</si>
  <si>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</si>
  <si>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</si>
  <si>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</si>
  <si>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</si>
  <si>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</si>
  <si>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</si>
  <si>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</si>
  <si>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</si>
  <si>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</si>
  <si>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</si>
  <si>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</si>
  <si>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</si>
  <si>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</si>
  <si>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</si>
  <si>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</si>
  <si>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</si>
  <si>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</si>
  <si>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</si>
  <si>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</si>
  <si>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</si>
  <si>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</si>
  <si>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</si>
  <si>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</si>
  <si>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</si>
  <si>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</si>
  <si>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</si>
  <si>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</si>
  <si>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</si>
  <si>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</si>
  <si>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</si>
  <si>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</si>
  <si>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</si>
  <si>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</si>
  <si>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</si>
  <si>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</si>
  <si>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</si>
  <si>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</si>
  <si>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</si>
  <si>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</si>
  <si>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</si>
  <si>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</si>
  <si>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</si>
  <si>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</si>
  <si>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</si>
  <si>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</si>
  <si>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</si>
  <si>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</si>
  <si>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</si>
  <si>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</si>
  <si>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</si>
  <si>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</si>
  <si>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</si>
  <si>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</si>
  <si>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</si>
  <si>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</si>
  <si>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</si>
  <si>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</si>
  <si>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</si>
  <si>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</si>
  <si>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</si>
  <si>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</si>
  <si>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</si>
  <si>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</si>
  <si>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</si>
  <si>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</si>
  <si>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</si>
  <si>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</si>
  <si>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</si>
  <si>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</si>
  <si>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</si>
  <si>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</si>
  <si>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</si>
  <si>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</si>
  <si>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</si>
  <si>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</si>
  <si>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</si>
  <si>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</si>
  <si>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</si>
  <si>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</si>
  <si>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</si>
  <si>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</si>
  <si>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</si>
  <si>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</si>
  <si>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</si>
  <si>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</si>
  <si>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</si>
  <si>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</si>
  <si>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</si>
  <si>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</si>
  <si>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</si>
  <si>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</si>
  <si>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</si>
  <si>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</si>
  <si>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</si>
  <si>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</si>
  <si>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</si>
  <si>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</si>
  <si>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</si>
  <si>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</si>
  <si>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</si>
  <si>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</si>
  <si>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</si>
  <si>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</si>
  <si>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</si>
  <si>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</si>
  <si>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</si>
  <si>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</si>
  <si>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</si>
  <si>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</si>
  <si>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</si>
  <si>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</si>
  <si>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</si>
  <si>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</si>
  <si>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</si>
  <si>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</si>
  <si>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</si>
  <si>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</si>
  <si>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</si>
  <si>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</si>
  <si>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</si>
  <si>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</si>
  <si>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</si>
  <si>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</si>
  <si>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</si>
  <si>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</si>
  <si>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</si>
  <si>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</si>
  <si>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</si>
  <si>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</si>
  <si>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</si>
  <si>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</si>
  <si>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</si>
  <si>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</si>
  <si>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</si>
  <si>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</si>
  <si>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</si>
  <si>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</si>
  <si>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</si>
  <si>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</si>
  <si>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</si>
  <si>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</si>
  <si>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</si>
  <si>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</si>
  <si>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</si>
  <si>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</si>
  <si>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</si>
  <si>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</si>
  <si>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</si>
  <si>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</si>
  <si>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</si>
  <si>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</si>
  <si>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</si>
  <si>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</si>
  <si>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</si>
  <si>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</si>
  <si>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</si>
  <si>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</si>
  <si>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</si>
  <si>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</si>
  <si>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</si>
  <si>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</si>
  <si>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</si>
  <si>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</si>
  <si>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</si>
  <si>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</si>
  <si>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</si>
  <si>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</si>
  <si>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</si>
  <si>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</si>
  <si>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</si>
  <si>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</si>
  <si>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</si>
  <si>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</si>
  <si>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</si>
  <si>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</si>
  <si>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</si>
  <si>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</si>
  <si>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</si>
  <si>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</si>
  <si>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</si>
  <si>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</si>
  <si>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</si>
  <si>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</si>
  <si>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</si>
  <si>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</si>
  <si>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</si>
  <si>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</si>
  <si>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</si>
  <si>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</si>
  <si>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</si>
  <si>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</si>
  <si>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</si>
  <si>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</si>
  <si>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</si>
  <si>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</si>
  <si>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</si>
  <si>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</si>
  <si>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</si>
  <si>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</si>
  <si>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</si>
  <si>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</si>
  <si>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</si>
  <si>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</si>
  <si>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</si>
  <si>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</si>
  <si>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</si>
  <si>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</si>
  <si>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</si>
  <si>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</si>
  <si>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</si>
  <si>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</si>
  <si>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</si>
  <si>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</si>
  <si>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</si>
  <si>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</si>
  <si>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</si>
  <si>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</si>
  <si>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</si>
  <si>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</si>
  <si>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</si>
  <si>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</si>
  <si>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</si>
  <si>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</si>
  <si>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</si>
  <si>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</si>
  <si>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</si>
  <si>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</si>
  <si>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</si>
  <si>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</si>
  <si>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</si>
  <si>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</si>
  <si>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</si>
  <si>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</si>
  <si>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</si>
  <si>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</si>
  <si>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</si>
  <si>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</si>
  <si>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</si>
  <si>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</si>
  <si>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</si>
  <si>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</si>
  <si>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</si>
  <si>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</si>
  <si>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</si>
  <si>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</si>
  <si>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</si>
  <si>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</si>
  <si>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</si>
  <si>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</si>
  <si>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</si>
  <si>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</si>
  <si>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</si>
  <si>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</si>
  <si>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</si>
  <si>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</si>
  <si>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</si>
  <si>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</si>
  <si>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</si>
  <si>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</si>
  <si>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</si>
  <si>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</si>
  <si>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</si>
  <si>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</si>
  <si>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</si>
  <si>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</si>
  <si>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</si>
  <si>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</si>
  <si>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</si>
  <si>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</si>
  <si>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</si>
  <si>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</si>
  <si>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</si>
  <si>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</si>
  <si>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</si>
  <si>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</si>
  <si>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</si>
  <si>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</si>
  <si>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</si>
  <si>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</si>
  <si>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</si>
  <si>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</si>
  <si>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</si>
  <si>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</si>
  <si>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</si>
  <si>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</si>
  <si>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</si>
  <si>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</si>
  <si>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</si>
  <si>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</si>
  <si>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</si>
  <si>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</si>
  <si>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</si>
  <si>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</si>
  <si>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</si>
  <si>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</si>
  <si>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</si>
  <si>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</si>
  <si>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</si>
  <si>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</si>
  <si>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</si>
  <si>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</si>
  <si>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</si>
  <si>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</si>
  <si>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</si>
  <si>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</si>
  <si>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</si>
  <si>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</si>
  <si>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</si>
  <si>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</si>
  <si>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</si>
  <si>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</si>
  <si>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</si>
  <si>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</si>
  <si>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</si>
  <si>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</si>
  <si>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</si>
  <si>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</si>
  <si>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</si>
  <si>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</si>
  <si>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</si>
  <si>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</si>
  <si>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</si>
  <si>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</si>
  <si>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</si>
  <si>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</si>
  <si>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</si>
  <si>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</si>
  <si>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</si>
  <si>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</si>
  <si>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</si>
  <si>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</si>
  <si>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</si>
  <si>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</si>
  <si>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</si>
  <si>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</si>
  <si>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</si>
  <si>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</si>
  <si>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</si>
  <si>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</si>
  <si>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</si>
  <si>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</si>
  <si>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</si>
  <si>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</si>
  <si>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</si>
  <si>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</si>
  <si>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</si>
  <si>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</si>
  <si>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</si>
  <si>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</si>
  <si>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</si>
  <si>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</si>
  <si>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</si>
  <si>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</si>
  <si>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</si>
  <si>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</si>
  <si>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</si>
  <si>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</si>
  <si>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</si>
  <si>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</si>
  <si>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</si>
  <si>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</si>
  <si>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</si>
  <si>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</si>
  <si>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</si>
  <si>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</si>
  <si>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</si>
  <si>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</si>
  <si>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</si>
  <si>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</si>
  <si>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</si>
  <si>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</si>
  <si>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</si>
  <si>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</si>
  <si>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</si>
  <si>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</si>
  <si>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</si>
  <si>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</si>
  <si>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</si>
  <si>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</si>
  <si>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</si>
  <si>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</si>
  <si>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</si>
  <si>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</si>
  <si>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</si>
  <si>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</si>
  <si>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</si>
  <si>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</si>
  <si>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</si>
  <si>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</si>
  <si>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</si>
  <si>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</si>
  <si>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</si>
  <si>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</si>
  <si>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</si>
  <si>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</si>
  <si>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</si>
  <si>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</si>
  <si>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</si>
  <si>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</si>
  <si>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</si>
  <si>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</si>
  <si>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</si>
  <si>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</si>
  <si>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</si>
  <si>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</si>
  <si>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</si>
  <si>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</si>
  <si>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</si>
  <si>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</si>
  <si>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</si>
  <si>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</si>
  <si>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</si>
  <si>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</si>
  <si>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</si>
  <si>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</si>
  <si>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</si>
  <si>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</si>
  <si>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</si>
  <si>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</si>
  <si>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</si>
  <si>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</si>
  <si>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</si>
  <si>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</si>
  <si>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</si>
  <si>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</si>
  <si>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</si>
  <si>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</si>
  <si>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</si>
  <si>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</si>
  <si>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</si>
  <si>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</si>
  <si>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</si>
  <si>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</si>
  <si>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</si>
  <si>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</si>
  <si>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</si>
  <si>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</si>
  <si>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</si>
  <si>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</si>
  <si>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</si>
  <si>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</si>
  <si>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</si>
  <si>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</si>
  <si>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</si>
  <si>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</si>
  <si>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</si>
  <si>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</si>
  <si>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</si>
  <si>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</si>
  <si>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</si>
  <si>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</si>
  <si>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</si>
  <si>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</si>
  <si>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</si>
  <si>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</si>
  <si>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</si>
  <si>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</si>
  <si>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</si>
  <si>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</si>
  <si>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</si>
  <si>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</si>
  <si>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</si>
  <si>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</si>
  <si>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</si>
  <si>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</si>
  <si>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</si>
  <si>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</si>
  <si>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</si>
  <si>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</si>
  <si>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</si>
  <si>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</si>
  <si>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</si>
  <si>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</si>
  <si>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</si>
  <si>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</si>
  <si>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</si>
  <si>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</si>
  <si>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</si>
  <si>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</si>
  <si>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</si>
  <si>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</si>
  <si>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</si>
  <si>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</si>
  <si>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</si>
  <si>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</si>
  <si>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</si>
  <si>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</si>
  <si>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</si>
  <si>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</si>
  <si>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</si>
  <si>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</si>
  <si>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</si>
  <si>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</si>
  <si>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</si>
  <si>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</si>
  <si>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</si>
  <si>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</si>
  <si>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</si>
  <si>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</si>
  <si>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</si>
  <si>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</si>
  <si>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</si>
  <si>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</si>
  <si>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</si>
  <si>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</si>
  <si>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</si>
  <si>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</si>
  <si>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</si>
  <si>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</si>
  <si>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</si>
  <si>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</si>
  <si>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</si>
  <si>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</si>
  <si>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</si>
  <si>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</si>
  <si>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</si>
  <si>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</si>
  <si>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</si>
  <si>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</si>
  <si>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</si>
  <si>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</si>
  <si>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</si>
  <si>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</si>
  <si>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</si>
  <si>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</si>
  <si>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</si>
  <si>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</si>
  <si>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</si>
  <si>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</si>
  <si>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</si>
  <si>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</si>
  <si>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</si>
  <si>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</si>
  <si>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</si>
  <si>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</si>
  <si>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</si>
  <si>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</si>
  <si>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</si>
  <si>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</si>
  <si>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</si>
  <si>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</si>
  <si>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</si>
  <si>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</si>
  <si>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</si>
  <si>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</si>
  <si>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</si>
  <si>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</si>
  <si>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</si>
  <si>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</si>
  <si>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</si>
  <si>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</si>
  <si>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</si>
  <si>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</si>
  <si>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</si>
  <si>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</si>
  <si>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</si>
  <si>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</si>
  <si>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</si>
  <si>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</si>
  <si>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</si>
  <si>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</si>
  <si>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</si>
  <si>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</si>
  <si>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</si>
  <si>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</si>
  <si>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</si>
  <si>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</si>
  <si>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</si>
  <si>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</si>
  <si>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</si>
  <si>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</si>
  <si>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</si>
  <si>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</si>
  <si>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</si>
  <si>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</si>
  <si>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</si>
  <si>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</si>
  <si>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</si>
  <si>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</si>
  <si>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</si>
  <si>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</si>
  <si>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</si>
  <si>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</si>
  <si>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</si>
  <si>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</si>
  <si>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</si>
  <si>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</si>
  <si>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</si>
  <si>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</si>
  <si>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</si>
  <si>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</si>
  <si>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</si>
  <si>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</si>
  <si>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</si>
  <si>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</si>
  <si>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</si>
  <si>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</si>
  <si>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</si>
  <si>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</si>
  <si>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</si>
  <si>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</si>
  <si>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</si>
  <si>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</si>
  <si>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</si>
  <si>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</si>
  <si>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</si>
  <si>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</si>
  <si>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</si>
  <si>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</si>
  <si>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</si>
  <si>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Sunapee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</si>
</sst>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96" zoomScaleNormal="96" workbookViewId="0">
      <pane xSplit="5" ySplit="3" topLeftCell="F62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515</v>
      </c>
      <c r="C2" s="21">
        <v>515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685170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25127</v>
      </c>
      <c r="G12" s="18">
        <v>8748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3279</v>
      </c>
      <c r="H13" s="18">
        <v>40388</v>
      </c>
      <c r="I13" s="18">
        <v>535419</v>
      </c>
      <c r="J13" s="67">
        <f>SUM(I442)</f>
        <v>666136.16999999993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53296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763593</v>
      </c>
      <c r="G19" s="41">
        <f>SUM(G9:G18)</f>
        <v>12027</v>
      </c>
      <c r="H19" s="41">
        <f>SUM(H9:H18)</f>
        <v>40388</v>
      </c>
      <c r="I19" s="41">
        <f>SUM(I9:I18)</f>
        <v>535419</v>
      </c>
      <c r="J19" s="41">
        <f>SUM(J9:J18)</f>
        <v>666136.16999999993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33875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38048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6513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38048</v>
      </c>
      <c r="G32" s="41">
        <f>SUM(G22:G31)</f>
        <v>0</v>
      </c>
      <c r="H32" s="41">
        <f>SUM(H22:H31)</f>
        <v>40388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130717.04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12027</f>
        <v>12027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>
        <v>535419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319086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150000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535419.13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181459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725545</v>
      </c>
      <c r="G51" s="41">
        <f>SUM(G35:G50)</f>
        <v>12027</v>
      </c>
      <c r="H51" s="41">
        <f>SUM(H35:H50)</f>
        <v>0</v>
      </c>
      <c r="I51" s="41">
        <f>SUM(I35:I50)</f>
        <v>535419</v>
      </c>
      <c r="J51" s="41">
        <f>SUM(J35:J50)</f>
        <v>666136.17000000004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763593</v>
      </c>
      <c r="G52" s="41">
        <f>G51+G32</f>
        <v>12027</v>
      </c>
      <c r="H52" s="41">
        <f>H51+H32</f>
        <v>40388</v>
      </c>
      <c r="I52" s="41">
        <f>I51+I32</f>
        <v>535419</v>
      </c>
      <c r="J52" s="41">
        <f>J51+J32</f>
        <v>666136.17000000004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7345434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7345434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23962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159529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183491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237</v>
      </c>
      <c r="G96" s="18"/>
      <c r="H96" s="18"/>
      <c r="I96" s="18"/>
      <c r="J96" s="18">
        <v>69.45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73028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4956</v>
      </c>
      <c r="G110" s="18"/>
      <c r="H110" s="18"/>
      <c r="I110" s="18"/>
      <c r="J110" s="18">
        <v>20467.23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5193</v>
      </c>
      <c r="G111" s="41">
        <f>SUM(G96:G110)</f>
        <v>73028</v>
      </c>
      <c r="H111" s="41">
        <f>SUM(H96:H110)</f>
        <v>0</v>
      </c>
      <c r="I111" s="41">
        <f>SUM(I96:I110)</f>
        <v>0</v>
      </c>
      <c r="J111" s="41">
        <f>SUM(J96:J110)</f>
        <v>20536.68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7534118</v>
      </c>
      <c r="G112" s="41">
        <f>G60+G111</f>
        <v>73028</v>
      </c>
      <c r="H112" s="41">
        <f>H60+H79+H94+H111</f>
        <v>0</v>
      </c>
      <c r="I112" s="41">
        <f>I60+I111</f>
        <v>0</v>
      </c>
      <c r="J112" s="41">
        <f>J60+J111</f>
        <v>20536.68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18441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2819928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2838369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289595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1458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1530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291053</v>
      </c>
      <c r="G136" s="41">
        <f>SUM(G123:G135)</f>
        <v>1530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3129422</v>
      </c>
      <c r="G140" s="41">
        <f>G121+SUM(G136:G137)</f>
        <v>1530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37750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40616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109959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120320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29144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120320</v>
      </c>
      <c r="G162" s="41">
        <f>SUM(G150:G161)</f>
        <v>40616</v>
      </c>
      <c r="H162" s="41">
        <f>SUM(H150:H161)</f>
        <v>176853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120320</v>
      </c>
      <c r="G169" s="41">
        <f>G147+G162+SUM(G163:G168)</f>
        <v>40616</v>
      </c>
      <c r="H169" s="41">
        <f>H147+H162+SUM(H163:H168)</f>
        <v>176853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20000</v>
      </c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20000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20000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10783860</v>
      </c>
      <c r="G193" s="47">
        <f>G112+G140+G169+G192</f>
        <v>135174</v>
      </c>
      <c r="H193" s="47">
        <f>H112+H140+H169+H192</f>
        <v>176853</v>
      </c>
      <c r="I193" s="47">
        <f>I112+I140+I169+I192</f>
        <v>0</v>
      </c>
      <c r="J193" s="47">
        <f>J112+J140+J192</f>
        <v>70536.679999999993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1060281</v>
      </c>
      <c r="G197" s="18">
        <f>359490+55051</f>
        <v>414541</v>
      </c>
      <c r="H197" s="18">
        <f>5938+2085</f>
        <v>8023</v>
      </c>
      <c r="I197" s="18">
        <f>47061</f>
        <v>47061</v>
      </c>
      <c r="J197" s="18">
        <f>7481+5270</f>
        <v>12751</v>
      </c>
      <c r="K197" s="18">
        <v>770</v>
      </c>
      <c r="L197" s="19">
        <f>SUM(F197:K197)</f>
        <v>1543427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319432</v>
      </c>
      <c r="G198" s="18">
        <v>107281</v>
      </c>
      <c r="H198" s="18">
        <f>132642+4604</f>
        <v>137246</v>
      </c>
      <c r="I198" s="18">
        <f>3456</f>
        <v>3456</v>
      </c>
      <c r="J198" s="18">
        <v>1308</v>
      </c>
      <c r="K198" s="18">
        <v>763</v>
      </c>
      <c r="L198" s="19">
        <f>SUM(F198:K198)</f>
        <v>569486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11544</v>
      </c>
      <c r="G200" s="18">
        <v>20013</v>
      </c>
      <c r="H200" s="18"/>
      <c r="I200" s="18">
        <f>6701</f>
        <v>6701</v>
      </c>
      <c r="J200" s="18"/>
      <c r="K200" s="18"/>
      <c r="L200" s="19">
        <f>SUM(F200:K200)</f>
        <v>38258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197780</v>
      </c>
      <c r="G202" s="18">
        <v>81106</v>
      </c>
      <c r="H202" s="18">
        <f>291+5800+731+768</f>
        <v>7590</v>
      </c>
      <c r="I202" s="18">
        <f>564+743+990+557+1100</f>
        <v>3954</v>
      </c>
      <c r="J202" s="18"/>
      <c r="K202" s="18"/>
      <c r="L202" s="19">
        <f t="shared" ref="L202:L208" si="0">SUM(F202:K202)</f>
        <v>290430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95302</v>
      </c>
      <c r="G203" s="18">
        <f>42438+12117</f>
        <v>54555</v>
      </c>
      <c r="H203" s="18">
        <f>1999+6459+6879</f>
        <v>15337</v>
      </c>
      <c r="I203" s="18">
        <f>4320+6349+13872</f>
        <v>24541</v>
      </c>
      <c r="J203" s="18">
        <v>87799</v>
      </c>
      <c r="K203" s="18"/>
      <c r="L203" s="19">
        <f t="shared" si="0"/>
        <v>277534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89678</v>
      </c>
      <c r="G204" s="18">
        <f>37451+5834</f>
        <v>43285</v>
      </c>
      <c r="H204" s="18">
        <f>11177+2946</f>
        <v>14123</v>
      </c>
      <c r="I204" s="18">
        <f>1380+6500</f>
        <v>7880</v>
      </c>
      <c r="J204" s="18"/>
      <c r="K204" s="18">
        <f>1595+1957</f>
        <v>3552</v>
      </c>
      <c r="L204" s="19">
        <f t="shared" si="0"/>
        <v>158518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129037</v>
      </c>
      <c r="G205" s="18">
        <v>47566</v>
      </c>
      <c r="H205" s="18">
        <f>2105</f>
        <v>2105</v>
      </c>
      <c r="I205" s="18">
        <f>895</f>
        <v>895</v>
      </c>
      <c r="J205" s="18"/>
      <c r="K205" s="18"/>
      <c r="L205" s="19">
        <f t="shared" si="0"/>
        <v>179603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163854</v>
      </c>
      <c r="G207" s="18">
        <v>40593</v>
      </c>
      <c r="H207" s="18">
        <f>47172+19115+16430+4068+2037</f>
        <v>88822</v>
      </c>
      <c r="I207" s="18">
        <f>65964+11649</f>
        <v>77613</v>
      </c>
      <c r="J207" s="18"/>
      <c r="K207" s="18"/>
      <c r="L207" s="19">
        <f t="shared" si="0"/>
        <v>370882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71861</v>
      </c>
      <c r="G208" s="18">
        <f>30755+698</f>
        <v>31453</v>
      </c>
      <c r="H208" s="18">
        <f>24429+9346</f>
        <v>33775</v>
      </c>
      <c r="I208" s="18">
        <v>11743</v>
      </c>
      <c r="J208" s="18">
        <f>12311+17333</f>
        <v>29644</v>
      </c>
      <c r="K208" s="18">
        <v>213</v>
      </c>
      <c r="L208" s="19">
        <f t="shared" si="0"/>
        <v>178689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2138769</v>
      </c>
      <c r="G211" s="41">
        <f t="shared" si="1"/>
        <v>840393</v>
      </c>
      <c r="H211" s="41">
        <f t="shared" si="1"/>
        <v>307021</v>
      </c>
      <c r="I211" s="41">
        <f t="shared" si="1"/>
        <v>183844</v>
      </c>
      <c r="J211" s="41">
        <f t="shared" si="1"/>
        <v>131502</v>
      </c>
      <c r="K211" s="41">
        <f t="shared" si="1"/>
        <v>5298</v>
      </c>
      <c r="L211" s="41">
        <f t="shared" si="1"/>
        <v>3606827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16141+595939</f>
        <v>612080</v>
      </c>
      <c r="G215" s="18">
        <f>359490+55051</f>
        <v>414541</v>
      </c>
      <c r="H215" s="18">
        <v>3467</v>
      </c>
      <c r="I215" s="18">
        <v>32606</v>
      </c>
      <c r="J215" s="18">
        <v>8100</v>
      </c>
      <c r="K215" s="18"/>
      <c r="L215" s="19">
        <f>SUM(F215:K215)</f>
        <v>1070794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147576+41143</f>
        <v>188719</v>
      </c>
      <c r="G216" s="18">
        <v>107281</v>
      </c>
      <c r="H216" s="18">
        <f>298735+4031-20000</f>
        <v>282766</v>
      </c>
      <c r="I216" s="18">
        <v>4241</v>
      </c>
      <c r="J216" s="18">
        <v>3727</v>
      </c>
      <c r="K216" s="18">
        <v>763</v>
      </c>
      <c r="L216" s="19">
        <f>SUM(F216:K216)</f>
        <v>587497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>
        <v>1724</v>
      </c>
      <c r="I217" s="18"/>
      <c r="J217" s="18"/>
      <c r="K217" s="18"/>
      <c r="L217" s="19">
        <f>SUM(F217:K217)</f>
        <v>1724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15096+28784+9007</f>
        <v>52887</v>
      </c>
      <c r="G218" s="18">
        <v>20013</v>
      </c>
      <c r="H218" s="18">
        <v>10702</v>
      </c>
      <c r="I218" s="18">
        <f>9069+10926</f>
        <v>19995</v>
      </c>
      <c r="J218" s="18"/>
      <c r="K218" s="18">
        <v>2812</v>
      </c>
      <c r="L218" s="19">
        <f>SUM(F218:K218)</f>
        <v>106409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63832+23105+25658+31800+24796</f>
        <v>169191</v>
      </c>
      <c r="G220" s="18">
        <v>81106</v>
      </c>
      <c r="H220" s="18">
        <f>5800+731+768+1736</f>
        <v>9035</v>
      </c>
      <c r="I220" s="18">
        <f>990+557+1100+1590+224</f>
        <v>4461</v>
      </c>
      <c r="J220" s="18"/>
      <c r="K220" s="18"/>
      <c r="L220" s="19">
        <f t="shared" ref="L220:L226" si="2">SUM(F220:K220)</f>
        <v>263793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35826+26033+27453</f>
        <v>89312</v>
      </c>
      <c r="G221" s="18">
        <f>42438+13329</f>
        <v>55767</v>
      </c>
      <c r="H221" s="18">
        <f>6459+6879+1132+1487</f>
        <v>15957</v>
      </c>
      <c r="I221" s="18">
        <f>13872+5138+7484</f>
        <v>26494</v>
      </c>
      <c r="J221" s="18">
        <f>792+30200</f>
        <v>30992</v>
      </c>
      <c r="K221" s="18"/>
      <c r="L221" s="19">
        <f t="shared" si="2"/>
        <v>218522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3790+85888</f>
        <v>89678</v>
      </c>
      <c r="G222" s="18">
        <f>37451+5834</f>
        <v>43285</v>
      </c>
      <c r="H222" s="18">
        <f>11177+2946</f>
        <v>14123</v>
      </c>
      <c r="I222" s="18">
        <f>1380+6500</f>
        <v>7880</v>
      </c>
      <c r="J222" s="18"/>
      <c r="K222" s="18">
        <f>1595+1957</f>
        <v>3552</v>
      </c>
      <c r="L222" s="19">
        <f t="shared" si="2"/>
        <v>158518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85062</f>
        <v>85062</v>
      </c>
      <c r="G223" s="18">
        <v>47566</v>
      </c>
      <c r="H223" s="18">
        <v>2862</v>
      </c>
      <c r="I223" s="18">
        <v>3798</v>
      </c>
      <c r="J223" s="18"/>
      <c r="K223" s="18">
        <v>2293</v>
      </c>
      <c r="L223" s="19">
        <f t="shared" si="2"/>
        <v>141581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22797+35376</f>
        <v>58173</v>
      </c>
      <c r="G225" s="18">
        <v>40593</v>
      </c>
      <c r="H225" s="18">
        <f>19115+53214+36200+4068+4881+2882+2037</f>
        <v>122397</v>
      </c>
      <c r="I225" s="18">
        <f>11649+81932</f>
        <v>93581</v>
      </c>
      <c r="J225" s="18">
        <v>9130</v>
      </c>
      <c r="K225" s="18"/>
      <c r="L225" s="19">
        <f t="shared" si="2"/>
        <v>323874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2927+39959+22016+6922</f>
        <v>71824</v>
      </c>
      <c r="G226" s="18">
        <v>30755</v>
      </c>
      <c r="H226" s="18">
        <f>9346+19089</f>
        <v>28435</v>
      </c>
      <c r="I226" s="18">
        <f>11743</f>
        <v>11743</v>
      </c>
      <c r="J226" s="18">
        <f>12311+17333</f>
        <v>29644</v>
      </c>
      <c r="K226" s="18">
        <v>213</v>
      </c>
      <c r="L226" s="19">
        <f t="shared" si="2"/>
        <v>172614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1416926</v>
      </c>
      <c r="G229" s="41">
        <f>SUM(G215:G228)</f>
        <v>840907</v>
      </c>
      <c r="H229" s="41">
        <f>SUM(H215:H228)</f>
        <v>491468</v>
      </c>
      <c r="I229" s="41">
        <f>SUM(I215:I228)</f>
        <v>204799</v>
      </c>
      <c r="J229" s="41">
        <f>SUM(J215:J228)</f>
        <v>81593</v>
      </c>
      <c r="K229" s="41">
        <f t="shared" si="3"/>
        <v>9633</v>
      </c>
      <c r="L229" s="41">
        <f t="shared" si="3"/>
        <v>3045326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883910+16141</f>
        <v>900051</v>
      </c>
      <c r="G233" s="18">
        <f>370384+55050</f>
        <v>425434</v>
      </c>
      <c r="H233" s="18">
        <v>5201</v>
      </c>
      <c r="I233" s="18">
        <v>48909</v>
      </c>
      <c r="J233" s="18">
        <v>12149</v>
      </c>
      <c r="K233" s="18"/>
      <c r="L233" s="19">
        <f>SUM(F233:K233)</f>
        <v>1391744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221364+41143</f>
        <v>262507</v>
      </c>
      <c r="G234" s="18">
        <v>110532</v>
      </c>
      <c r="H234" s="18">
        <v>327136</v>
      </c>
      <c r="I234" s="18">
        <v>6362</v>
      </c>
      <c r="J234" s="18">
        <v>5592</v>
      </c>
      <c r="K234" s="18">
        <v>763</v>
      </c>
      <c r="L234" s="19">
        <f>SUM(F234:K234)</f>
        <v>712892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2587</v>
      </c>
      <c r="I235" s="18"/>
      <c r="J235" s="18"/>
      <c r="K235" s="18"/>
      <c r="L235" s="19">
        <f>SUM(F235:K235)</f>
        <v>2587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22644+43175+13511</f>
        <v>79330</v>
      </c>
      <c r="G236" s="18">
        <v>20619</v>
      </c>
      <c r="H236" s="18">
        <v>16053</v>
      </c>
      <c r="I236" s="18">
        <f>13604+16390</f>
        <v>29994</v>
      </c>
      <c r="J236" s="18"/>
      <c r="K236" s="18">
        <v>4218</v>
      </c>
      <c r="L236" s="19">
        <f>SUM(F236:K236)</f>
        <v>150214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95747+34658+25658+31800+24796</f>
        <v>212659</v>
      </c>
      <c r="G238" s="18">
        <v>83564</v>
      </c>
      <c r="H238" s="18">
        <f>5800+731+768+2012</f>
        <v>9311</v>
      </c>
      <c r="I238" s="18">
        <f>990+557+1100+2386+336</f>
        <v>5369</v>
      </c>
      <c r="J238" s="18"/>
      <c r="K238" s="18"/>
      <c r="L238" s="19">
        <f t="shared" ref="L238:L244" si="4">SUM(F238:K238)</f>
        <v>310903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63739+39049+27453</f>
        <v>130241</v>
      </c>
      <c r="G239" s="18">
        <f>43724+17336</f>
        <v>61060</v>
      </c>
      <c r="H239" s="18">
        <f>6459+6879+1698+2229+295</f>
        <v>17560</v>
      </c>
      <c r="I239" s="18">
        <f>13872+7708+11227</f>
        <v>32807</v>
      </c>
      <c r="J239" s="18">
        <f>1187+45400</f>
        <v>46587</v>
      </c>
      <c r="K239" s="18"/>
      <c r="L239" s="19">
        <f t="shared" si="4"/>
        <v>288255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3790+85888</f>
        <v>89678</v>
      </c>
      <c r="G240" s="18">
        <f>38586+5834</f>
        <v>44420</v>
      </c>
      <c r="H240" s="18">
        <f>11177+2946</f>
        <v>14123</v>
      </c>
      <c r="I240" s="18">
        <f>1380+6500</f>
        <v>7880</v>
      </c>
      <c r="J240" s="18"/>
      <c r="K240" s="18">
        <f>1595+1957</f>
        <v>3552</v>
      </c>
      <c r="L240" s="19">
        <f t="shared" si="4"/>
        <v>159653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127592</f>
        <v>127592</v>
      </c>
      <c r="G241" s="18">
        <v>49008</v>
      </c>
      <c r="H241" s="18">
        <v>4293</v>
      </c>
      <c r="I241" s="18">
        <v>5697</v>
      </c>
      <c r="J241" s="18"/>
      <c r="K241" s="18">
        <v>3440</v>
      </c>
      <c r="L241" s="19">
        <f t="shared" si="4"/>
        <v>190030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34195+35376</f>
        <v>69571</v>
      </c>
      <c r="G243" s="18">
        <v>41823</v>
      </c>
      <c r="H243" s="18">
        <f>19115+79820+54300+8+7322+2539+2037+4068</f>
        <v>169209</v>
      </c>
      <c r="I243" s="18">
        <f>11649+122899</f>
        <v>134548</v>
      </c>
      <c r="J243" s="18">
        <v>13696</v>
      </c>
      <c r="K243" s="18"/>
      <c r="L243" s="19">
        <f t="shared" si="4"/>
        <v>428847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6957+4391+39959+22016+6922</f>
        <v>80245</v>
      </c>
      <c r="G244" s="18">
        <v>31687</v>
      </c>
      <c r="H244" s="18">
        <f>9346+28633</f>
        <v>37979</v>
      </c>
      <c r="I244" s="18">
        <f>11743</f>
        <v>11743</v>
      </c>
      <c r="J244" s="18">
        <f>12311+17333</f>
        <v>29644</v>
      </c>
      <c r="K244" s="18">
        <v>213</v>
      </c>
      <c r="L244" s="19">
        <f t="shared" si="4"/>
        <v>191511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1951874</v>
      </c>
      <c r="G247" s="41">
        <f t="shared" si="5"/>
        <v>868147</v>
      </c>
      <c r="H247" s="41">
        <f t="shared" si="5"/>
        <v>603452</v>
      </c>
      <c r="I247" s="41">
        <f t="shared" si="5"/>
        <v>283309</v>
      </c>
      <c r="J247" s="41">
        <f t="shared" si="5"/>
        <v>107668</v>
      </c>
      <c r="K247" s="41">
        <f t="shared" si="5"/>
        <v>12186</v>
      </c>
      <c r="L247" s="41">
        <f t="shared" si="5"/>
        <v>3826636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5507569</v>
      </c>
      <c r="G257" s="41">
        <f t="shared" si="8"/>
        <v>2549447</v>
      </c>
      <c r="H257" s="41">
        <f t="shared" si="8"/>
        <v>1401941</v>
      </c>
      <c r="I257" s="41">
        <f t="shared" si="8"/>
        <v>671952</v>
      </c>
      <c r="J257" s="41">
        <f t="shared" si="8"/>
        <v>320763</v>
      </c>
      <c r="K257" s="41">
        <f t="shared" si="8"/>
        <v>27117</v>
      </c>
      <c r="L257" s="41">
        <f t="shared" si="8"/>
        <v>10478789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20000</v>
      </c>
      <c r="L263" s="19">
        <f>SUM(F263:K263)</f>
        <v>20000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70000</v>
      </c>
      <c r="L270" s="41">
        <f t="shared" si="9"/>
        <v>70000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5507569</v>
      </c>
      <c r="G271" s="42">
        <f t="shared" si="11"/>
        <v>2549447</v>
      </c>
      <c r="H271" s="42">
        <f t="shared" si="11"/>
        <v>1401941</v>
      </c>
      <c r="I271" s="42">
        <f t="shared" si="11"/>
        <v>671952</v>
      </c>
      <c r="J271" s="42">
        <f t="shared" si="11"/>
        <v>320763</v>
      </c>
      <c r="K271" s="42">
        <f t="shared" si="11"/>
        <v>97117</v>
      </c>
      <c r="L271" s="42">
        <f t="shared" si="11"/>
        <v>10548789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37750</v>
      </c>
      <c r="G276" s="18"/>
      <c r="H276" s="18"/>
      <c r="I276" s="18"/>
      <c r="J276" s="18"/>
      <c r="K276" s="18"/>
      <c r="L276" s="19">
        <f>SUM(F276:K276)</f>
        <v>37750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2310+1667+12000</f>
        <v>15977</v>
      </c>
      <c r="G277" s="18"/>
      <c r="H277" s="18">
        <f>5303+1195+425+333</f>
        <v>7256</v>
      </c>
      <c r="I277" s="18">
        <f>4126+126+34</f>
        <v>4286</v>
      </c>
      <c r="J277" s="18">
        <f>3877</f>
        <v>3877</v>
      </c>
      <c r="K277" s="18"/>
      <c r="L277" s="19">
        <f>SUM(F277:K277)</f>
        <v>31396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4333</f>
        <v>4333</v>
      </c>
      <c r="G281" s="18"/>
      <c r="H281" s="18">
        <f>226+337</f>
        <v>563</v>
      </c>
      <c r="I281" s="18"/>
      <c r="J281" s="18"/>
      <c r="K281" s="18"/>
      <c r="L281" s="19">
        <f t="shared" ref="L281:L287" si="12">SUM(F281:K281)</f>
        <v>4896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f>689+833+1568+1307+425</f>
        <v>4822</v>
      </c>
      <c r="I282" s="18">
        <f>1000+855</f>
        <v>1855</v>
      </c>
      <c r="J282" s="18">
        <f>997+15</f>
        <v>1012</v>
      </c>
      <c r="K282" s="18"/>
      <c r="L282" s="19">
        <f t="shared" si="12"/>
        <v>7689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f>200</f>
        <v>200</v>
      </c>
      <c r="I287" s="18">
        <v>485</v>
      </c>
      <c r="J287" s="18">
        <v>329</v>
      </c>
      <c r="K287" s="18"/>
      <c r="L287" s="19">
        <f t="shared" si="12"/>
        <v>1014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58060</v>
      </c>
      <c r="G290" s="42">
        <f t="shared" si="13"/>
        <v>0</v>
      </c>
      <c r="H290" s="42">
        <f t="shared" si="13"/>
        <v>12841</v>
      </c>
      <c r="I290" s="42">
        <f t="shared" si="13"/>
        <v>6626</v>
      </c>
      <c r="J290" s="42">
        <f t="shared" si="13"/>
        <v>5218</v>
      </c>
      <c r="K290" s="42">
        <f t="shared" si="13"/>
        <v>0</v>
      </c>
      <c r="L290" s="41">
        <f t="shared" si="13"/>
        <v>82745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2310+1667+12000</f>
        <v>15977</v>
      </c>
      <c r="G296" s="18"/>
      <c r="H296" s="18">
        <f>5303+1195+425+333</f>
        <v>7256</v>
      </c>
      <c r="I296" s="18">
        <f>4126+126+34</f>
        <v>4286</v>
      </c>
      <c r="J296" s="18">
        <f>3877</f>
        <v>3877</v>
      </c>
      <c r="K296" s="18"/>
      <c r="L296" s="19">
        <f>SUM(F296:K296)</f>
        <v>31396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f>4333+6019</f>
        <v>10352</v>
      </c>
      <c r="G300" s="18"/>
      <c r="H300" s="18">
        <f>226+337</f>
        <v>563</v>
      </c>
      <c r="I300" s="18"/>
      <c r="J300" s="18"/>
      <c r="K300" s="18"/>
      <c r="L300" s="19">
        <f t="shared" ref="L300:L306" si="14">SUM(F300:K300)</f>
        <v>10915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>
        <f>689+833+1568+1307+425</f>
        <v>4822</v>
      </c>
      <c r="I301" s="18">
        <f>1000+855</f>
        <v>1855</v>
      </c>
      <c r="J301" s="18">
        <f>997+15</f>
        <v>1012</v>
      </c>
      <c r="K301" s="18"/>
      <c r="L301" s="19">
        <f t="shared" si="14"/>
        <v>7689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f>200</f>
        <v>200</v>
      </c>
      <c r="I306" s="18">
        <v>485</v>
      </c>
      <c r="J306" s="18">
        <v>329</v>
      </c>
      <c r="K306" s="18"/>
      <c r="L306" s="19">
        <f t="shared" si="14"/>
        <v>1014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26329</v>
      </c>
      <c r="G309" s="42">
        <f t="shared" si="15"/>
        <v>0</v>
      </c>
      <c r="H309" s="42">
        <f t="shared" si="15"/>
        <v>12841</v>
      </c>
      <c r="I309" s="42">
        <f t="shared" si="15"/>
        <v>6626</v>
      </c>
      <c r="J309" s="42">
        <f t="shared" si="15"/>
        <v>5218</v>
      </c>
      <c r="K309" s="42">
        <f t="shared" si="15"/>
        <v>0</v>
      </c>
      <c r="L309" s="41">
        <f t="shared" si="15"/>
        <v>51014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2310+1667+12000</f>
        <v>15977</v>
      </c>
      <c r="G315" s="18"/>
      <c r="H315" s="18">
        <f>5303+1195+425+333</f>
        <v>7256</v>
      </c>
      <c r="I315" s="18">
        <f>4126+126+34</f>
        <v>4286</v>
      </c>
      <c r="J315" s="18">
        <f>3877-1901</f>
        <v>1976</v>
      </c>
      <c r="K315" s="18"/>
      <c r="L315" s="19">
        <f>SUM(F315:K315)</f>
        <v>29495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4333</f>
        <v>4333</v>
      </c>
      <c r="G319" s="18"/>
      <c r="H319" s="18">
        <f>226+337</f>
        <v>563</v>
      </c>
      <c r="I319" s="18"/>
      <c r="J319" s="18"/>
      <c r="K319" s="18"/>
      <c r="L319" s="19">
        <f t="shared" ref="L319:L325" si="16">SUM(F319:K319)</f>
        <v>4896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>
        <f>689+833+1568+1307+425</f>
        <v>4822</v>
      </c>
      <c r="I320" s="18">
        <f>1000+855</f>
        <v>1855</v>
      </c>
      <c r="J320" s="18">
        <f>997+15</f>
        <v>1012</v>
      </c>
      <c r="K320" s="18"/>
      <c r="L320" s="19">
        <f t="shared" si="16"/>
        <v>7689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f>200</f>
        <v>200</v>
      </c>
      <c r="I325" s="18">
        <v>485</v>
      </c>
      <c r="J325" s="18">
        <v>329</v>
      </c>
      <c r="K325" s="18"/>
      <c r="L325" s="19">
        <f t="shared" si="16"/>
        <v>1014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20310</v>
      </c>
      <c r="G328" s="42">
        <f t="shared" si="17"/>
        <v>0</v>
      </c>
      <c r="H328" s="42">
        <f t="shared" si="17"/>
        <v>12841</v>
      </c>
      <c r="I328" s="42">
        <f t="shared" si="17"/>
        <v>6626</v>
      </c>
      <c r="J328" s="42">
        <f t="shared" si="17"/>
        <v>3317</v>
      </c>
      <c r="K328" s="42">
        <f t="shared" si="17"/>
        <v>0</v>
      </c>
      <c r="L328" s="41">
        <f t="shared" si="17"/>
        <v>43094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104699</v>
      </c>
      <c r="G338" s="41">
        <f t="shared" si="20"/>
        <v>0</v>
      </c>
      <c r="H338" s="41">
        <f t="shared" si="20"/>
        <v>38523</v>
      </c>
      <c r="I338" s="41">
        <f t="shared" si="20"/>
        <v>19878</v>
      </c>
      <c r="J338" s="41">
        <f t="shared" si="20"/>
        <v>13753</v>
      </c>
      <c r="K338" s="41">
        <f t="shared" si="20"/>
        <v>0</v>
      </c>
      <c r="L338" s="41">
        <f t="shared" si="20"/>
        <v>176853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104699</v>
      </c>
      <c r="G352" s="41">
        <f>G338</f>
        <v>0</v>
      </c>
      <c r="H352" s="41">
        <f>H338</f>
        <v>38523</v>
      </c>
      <c r="I352" s="41">
        <f>I338</f>
        <v>19878</v>
      </c>
      <c r="J352" s="41">
        <f>J338</f>
        <v>13753</v>
      </c>
      <c r="K352" s="47">
        <f>K338+K351</f>
        <v>0</v>
      </c>
      <c r="L352" s="41">
        <f>L338+L351</f>
        <v>176853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24803</v>
      </c>
      <c r="G358" s="18"/>
      <c r="H358" s="18">
        <v>911</v>
      </c>
      <c r="I358" s="18">
        <f>349+2240+16133</f>
        <v>18722</v>
      </c>
      <c r="J358" s="18"/>
      <c r="K358" s="18">
        <v>300</v>
      </c>
      <c r="L358" s="13">
        <f>SUM(F358:K358)</f>
        <v>44736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24803</v>
      </c>
      <c r="G359" s="18"/>
      <c r="H359" s="18">
        <v>911</v>
      </c>
      <c r="I359" s="18">
        <f t="shared" ref="I359:I360" si="22">349+2240+16132</f>
        <v>18721</v>
      </c>
      <c r="J359" s="18"/>
      <c r="K359" s="18">
        <v>300</v>
      </c>
      <c r="L359" s="19">
        <f>SUM(F359:K359)</f>
        <v>44735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24803</v>
      </c>
      <c r="G360" s="18"/>
      <c r="H360" s="18">
        <v>911</v>
      </c>
      <c r="I360" s="18">
        <f t="shared" si="22"/>
        <v>18721</v>
      </c>
      <c r="J360" s="18"/>
      <c r="K360" s="18">
        <v>300</v>
      </c>
      <c r="L360" s="19">
        <f>SUM(F360:K360)</f>
        <v>44735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3">SUM(F358:F361)</f>
        <v>74409</v>
      </c>
      <c r="G362" s="47">
        <f t="shared" si="23"/>
        <v>0</v>
      </c>
      <c r="H362" s="47">
        <f t="shared" si="23"/>
        <v>2733</v>
      </c>
      <c r="I362" s="47">
        <f t="shared" si="23"/>
        <v>56164</v>
      </c>
      <c r="J362" s="47">
        <f t="shared" si="23"/>
        <v>0</v>
      </c>
      <c r="K362" s="47">
        <f t="shared" si="23"/>
        <v>900</v>
      </c>
      <c r="L362" s="47">
        <f t="shared" si="23"/>
        <v>134206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16133+2240</f>
        <v>18373</v>
      </c>
      <c r="G367" s="18">
        <f t="shared" ref="G367:H367" si="24">16132+2240</f>
        <v>18372</v>
      </c>
      <c r="H367" s="18">
        <f t="shared" si="24"/>
        <v>18372</v>
      </c>
      <c r="I367" s="56">
        <f>SUM(F367:H367)</f>
        <v>55117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349</v>
      </c>
      <c r="G368" s="63">
        <v>349</v>
      </c>
      <c r="H368" s="63">
        <v>349</v>
      </c>
      <c r="I368" s="56">
        <f>SUM(F368:H368)</f>
        <v>1047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18722</v>
      </c>
      <c r="G369" s="47">
        <f>SUM(G367:G368)</f>
        <v>18721</v>
      </c>
      <c r="H369" s="47">
        <f>SUM(H367:H368)</f>
        <v>18721</v>
      </c>
      <c r="I369" s="47">
        <f>SUM(I367:I368)</f>
        <v>56164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5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5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5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5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5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5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5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6">SUM(G374:G381)</f>
        <v>0</v>
      </c>
      <c r="H382" s="139">
        <f t="shared" si="26"/>
        <v>0</v>
      </c>
      <c r="I382" s="41">
        <f t="shared" si="26"/>
        <v>0</v>
      </c>
      <c r="J382" s="47">
        <f t="shared" si="26"/>
        <v>0</v>
      </c>
      <c r="K382" s="47">
        <f t="shared" si="26"/>
        <v>0</v>
      </c>
      <c r="L382" s="47">
        <f t="shared" si="26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7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7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14.84</v>
      </c>
      <c r="I389" s="18"/>
      <c r="J389" s="24" t="s">
        <v>289</v>
      </c>
      <c r="K389" s="24" t="s">
        <v>289</v>
      </c>
      <c r="L389" s="56">
        <f t="shared" si="27"/>
        <v>14.84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7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7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7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14.84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14.84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8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>
        <v>11.45</v>
      </c>
      <c r="I396" s="18"/>
      <c r="J396" s="24" t="s">
        <v>289</v>
      </c>
      <c r="K396" s="24" t="s">
        <v>289</v>
      </c>
      <c r="L396" s="56">
        <f t="shared" si="28"/>
        <v>25011.45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>
        <v>28.55</v>
      </c>
      <c r="I397" s="18"/>
      <c r="J397" s="24" t="s">
        <v>289</v>
      </c>
      <c r="K397" s="24" t="s">
        <v>289</v>
      </c>
      <c r="L397" s="56">
        <f t="shared" si="28"/>
        <v>25028.55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8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8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14.61</v>
      </c>
      <c r="I400" s="18">
        <v>20467.23</v>
      </c>
      <c r="J400" s="24" t="s">
        <v>289</v>
      </c>
      <c r="K400" s="24" t="s">
        <v>289</v>
      </c>
      <c r="L400" s="56">
        <f t="shared" si="28"/>
        <v>20481.84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54.61</v>
      </c>
      <c r="I401" s="47">
        <f>SUM(I395:I400)</f>
        <v>20467.23</v>
      </c>
      <c r="J401" s="45" t="s">
        <v>289</v>
      </c>
      <c r="K401" s="45" t="s">
        <v>289</v>
      </c>
      <c r="L401" s="47">
        <f>SUM(L395:L400)</f>
        <v>70521.84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69.45</v>
      </c>
      <c r="I408" s="47">
        <f>I393+I401+I407</f>
        <v>20467.23</v>
      </c>
      <c r="J408" s="24" t="s">
        <v>289</v>
      </c>
      <c r="K408" s="24" t="s">
        <v>289</v>
      </c>
      <c r="L408" s="47">
        <f>L393+L401+L407</f>
        <v>70536.679999999993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30">SUM(F413:F418)</f>
        <v>0</v>
      </c>
      <c r="G419" s="139">
        <f t="shared" si="30"/>
        <v>0</v>
      </c>
      <c r="H419" s="139">
        <f t="shared" si="30"/>
        <v>0</v>
      </c>
      <c r="I419" s="139">
        <f t="shared" si="30"/>
        <v>0</v>
      </c>
      <c r="J419" s="139">
        <f t="shared" si="30"/>
        <v>0</v>
      </c>
      <c r="K419" s="139">
        <f t="shared" si="30"/>
        <v>0</v>
      </c>
      <c r="L419" s="47">
        <f t="shared" si="30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31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16429.7</v>
      </c>
      <c r="L422" s="56">
        <f t="shared" si="31"/>
        <v>16429.7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31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31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31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2800</v>
      </c>
      <c r="L426" s="56">
        <f t="shared" si="31"/>
        <v>2800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2">SUM(F421:F426)</f>
        <v>0</v>
      </c>
      <c r="G427" s="47">
        <f t="shared" si="32"/>
        <v>0</v>
      </c>
      <c r="H427" s="47">
        <f t="shared" si="32"/>
        <v>0</v>
      </c>
      <c r="I427" s="47">
        <f t="shared" si="32"/>
        <v>0</v>
      </c>
      <c r="J427" s="47">
        <f t="shared" si="32"/>
        <v>0</v>
      </c>
      <c r="K427" s="47">
        <f t="shared" si="32"/>
        <v>19229.7</v>
      </c>
      <c r="L427" s="47">
        <f t="shared" si="32"/>
        <v>19229.7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3">SUM(F429:F432)</f>
        <v>0</v>
      </c>
      <c r="G433" s="47">
        <f t="shared" si="33"/>
        <v>0</v>
      </c>
      <c r="H433" s="47">
        <f t="shared" si="33"/>
        <v>0</v>
      </c>
      <c r="I433" s="47">
        <f t="shared" si="33"/>
        <v>0</v>
      </c>
      <c r="J433" s="47">
        <f t="shared" si="33"/>
        <v>0</v>
      </c>
      <c r="K433" s="47">
        <f t="shared" si="33"/>
        <v>0</v>
      </c>
      <c r="L433" s="47">
        <f t="shared" si="33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4">F419+F427+F433</f>
        <v>0</v>
      </c>
      <c r="G434" s="47">
        <f t="shared" si="34"/>
        <v>0</v>
      </c>
      <c r="H434" s="47">
        <f t="shared" si="34"/>
        <v>0</v>
      </c>
      <c r="I434" s="47">
        <f t="shared" si="34"/>
        <v>0</v>
      </c>
      <c r="J434" s="47">
        <f t="shared" si="34"/>
        <v>0</v>
      </c>
      <c r="K434" s="47">
        <f t="shared" si="34"/>
        <v>19229.7</v>
      </c>
      <c r="L434" s="47">
        <f t="shared" si="34"/>
        <v>19229.7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5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5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5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136059.54999999999</v>
      </c>
      <c r="G442" s="18">
        <v>530076.62</v>
      </c>
      <c r="H442" s="18"/>
      <c r="I442" s="56">
        <f t="shared" si="35"/>
        <v>666136.16999999993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5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5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5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136059.54999999999</v>
      </c>
      <c r="G446" s="13">
        <f>SUM(G439:G445)</f>
        <v>530076.62</v>
      </c>
      <c r="H446" s="13">
        <f>SUM(H439:H445)</f>
        <v>0</v>
      </c>
      <c r="I446" s="13">
        <f>SUM(I439:I445)</f>
        <v>666136.16999999993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6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6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6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6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>
        <v>130717.04</v>
      </c>
      <c r="H458" s="18"/>
      <c r="I458" s="56">
        <f t="shared" si="36"/>
        <v>130717.04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136059.54999999999</v>
      </c>
      <c r="G459" s="18">
        <v>399359.58</v>
      </c>
      <c r="H459" s="18"/>
      <c r="I459" s="56">
        <f t="shared" si="36"/>
        <v>535419.13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136059.54999999999</v>
      </c>
      <c r="G460" s="83">
        <f>SUM(G454:G459)</f>
        <v>530076.62</v>
      </c>
      <c r="H460" s="83">
        <f>SUM(H454:H459)</f>
        <v>0</v>
      </c>
      <c r="I460" s="83">
        <f>SUM(I454:I459)</f>
        <v>666136.17000000004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136059.54999999999</v>
      </c>
      <c r="G461" s="42">
        <f>G452+G460</f>
        <v>530076.62</v>
      </c>
      <c r="H461" s="42">
        <f>H452+H460</f>
        <v>0</v>
      </c>
      <c r="I461" s="42">
        <f>I452+I460</f>
        <v>666136.17000000004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490474</v>
      </c>
      <c r="G465" s="18">
        <v>11059</v>
      </c>
      <c r="H465" s="18"/>
      <c r="I465" s="18">
        <v>535419</v>
      </c>
      <c r="J465" s="18">
        <v>614829.18999999994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10783860</f>
        <v>10783860</v>
      </c>
      <c r="G468" s="18">
        <f>115174+20000</f>
        <v>135174</v>
      </c>
      <c r="H468" s="18">
        <v>176853</v>
      </c>
      <c r="I468" s="18"/>
      <c r="J468" s="18">
        <f>L408</f>
        <v>70536.679999999993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10783860</v>
      </c>
      <c r="G470" s="53">
        <f>SUM(G468:G469)</f>
        <v>135174</v>
      </c>
      <c r="H470" s="53">
        <f>SUM(H468:H469)</f>
        <v>176853</v>
      </c>
      <c r="I470" s="53">
        <f>SUM(I468:I469)</f>
        <v>0</v>
      </c>
      <c r="J470" s="53">
        <f>SUM(J468:J469)</f>
        <v>70536.679999999993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10548789</f>
        <v>10548789</v>
      </c>
      <c r="G472" s="18">
        <v>134206</v>
      </c>
      <c r="H472" s="18">
        <v>176853</v>
      </c>
      <c r="I472" s="18"/>
      <c r="J472" s="18">
        <f>L434</f>
        <v>19229.7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10548789</v>
      </c>
      <c r="G474" s="53">
        <f>SUM(G472:G473)</f>
        <v>134206</v>
      </c>
      <c r="H474" s="53">
        <f>SUM(H472:H473)</f>
        <v>176853</v>
      </c>
      <c r="I474" s="53">
        <f>SUM(I472:I473)</f>
        <v>0</v>
      </c>
      <c r="J474" s="53">
        <f>SUM(J472:J473)</f>
        <v>19229.7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725545</v>
      </c>
      <c r="G476" s="53">
        <f>(G465+G470)- G474</f>
        <v>12027</v>
      </c>
      <c r="H476" s="53">
        <f>(H465+H470)- H474</f>
        <v>0</v>
      </c>
      <c r="I476" s="53">
        <f>(I465+I470)- I474</f>
        <v>535419</v>
      </c>
      <c r="J476" s="53">
        <f>(J465+J470)- J474</f>
        <v>666136.16999999993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7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7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7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7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7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7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7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7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291099</v>
      </c>
      <c r="G521" s="18">
        <v>97365</v>
      </c>
      <c r="H521" s="18">
        <v>255716</v>
      </c>
      <c r="I521" s="18">
        <v>3456</v>
      </c>
      <c r="J521" s="18">
        <v>1308</v>
      </c>
      <c r="K521" s="18">
        <v>763</v>
      </c>
      <c r="L521" s="88">
        <f>SUM(F521:K521)</f>
        <v>649707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160386</v>
      </c>
      <c r="G522" s="18">
        <v>97365</v>
      </c>
      <c r="H522" s="18">
        <v>255716</v>
      </c>
      <c r="I522" s="18">
        <v>4241</v>
      </c>
      <c r="J522" s="18">
        <v>3727</v>
      </c>
      <c r="K522" s="18">
        <v>763</v>
      </c>
      <c r="L522" s="88">
        <f>SUM(F522:K522)</f>
        <v>522198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234174</v>
      </c>
      <c r="G523" s="18">
        <v>100616</v>
      </c>
      <c r="H523" s="18">
        <v>250717</v>
      </c>
      <c r="I523" s="18">
        <v>6362</v>
      </c>
      <c r="J523" s="18">
        <v>5592</v>
      </c>
      <c r="K523" s="18">
        <v>763</v>
      </c>
      <c r="L523" s="88">
        <f>SUM(F523:K523)</f>
        <v>598224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685659</v>
      </c>
      <c r="G524" s="108">
        <f t="shared" ref="G524:L524" si="38">SUM(G521:G523)</f>
        <v>295346</v>
      </c>
      <c r="H524" s="108">
        <f t="shared" si="38"/>
        <v>762149</v>
      </c>
      <c r="I524" s="108">
        <f t="shared" si="38"/>
        <v>14059</v>
      </c>
      <c r="J524" s="108">
        <f t="shared" si="38"/>
        <v>10627</v>
      </c>
      <c r="K524" s="108">
        <f t="shared" si="38"/>
        <v>2289</v>
      </c>
      <c r="L524" s="89">
        <f t="shared" si="38"/>
        <v>1770129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197780</v>
      </c>
      <c r="G526" s="18">
        <v>81106</v>
      </c>
      <c r="H526" s="18">
        <v>7590</v>
      </c>
      <c r="I526" s="18">
        <v>3954</v>
      </c>
      <c r="J526" s="18"/>
      <c r="K526" s="18"/>
      <c r="L526" s="88">
        <f>SUM(F526:K526)</f>
        <v>290430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169191</v>
      </c>
      <c r="G527" s="18">
        <v>81106</v>
      </c>
      <c r="H527" s="18">
        <v>9035</v>
      </c>
      <c r="I527" s="18">
        <v>4461</v>
      </c>
      <c r="J527" s="18"/>
      <c r="K527" s="18"/>
      <c r="L527" s="88">
        <f>SUM(F527:K527)</f>
        <v>263793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212659</v>
      </c>
      <c r="G528" s="18">
        <v>83564</v>
      </c>
      <c r="H528" s="18">
        <v>9311</v>
      </c>
      <c r="I528" s="18">
        <v>5369</v>
      </c>
      <c r="J528" s="18"/>
      <c r="K528" s="18"/>
      <c r="L528" s="88">
        <f>SUM(F528:K528)</f>
        <v>310903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579630</v>
      </c>
      <c r="G529" s="89">
        <f t="shared" ref="G529:L529" si="39">SUM(G526:G528)</f>
        <v>245776</v>
      </c>
      <c r="H529" s="89">
        <f t="shared" si="39"/>
        <v>25936</v>
      </c>
      <c r="I529" s="89">
        <f t="shared" si="39"/>
        <v>13784</v>
      </c>
      <c r="J529" s="89">
        <f t="shared" si="39"/>
        <v>0</v>
      </c>
      <c r="K529" s="89">
        <f t="shared" si="39"/>
        <v>0</v>
      </c>
      <c r="L529" s="89">
        <f t="shared" si="39"/>
        <v>865126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28333</v>
      </c>
      <c r="G531" s="18">
        <v>9916</v>
      </c>
      <c r="H531" s="18"/>
      <c r="I531" s="18"/>
      <c r="J531" s="18"/>
      <c r="K531" s="18"/>
      <c r="L531" s="88">
        <f>SUM(F531:K531)</f>
        <v>38249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28333</v>
      </c>
      <c r="G532" s="18">
        <v>9916</v>
      </c>
      <c r="H532" s="18"/>
      <c r="I532" s="18"/>
      <c r="J532" s="18"/>
      <c r="K532" s="18"/>
      <c r="L532" s="88">
        <f>SUM(F532:K532)</f>
        <v>38249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28333</v>
      </c>
      <c r="G533" s="18">
        <v>9916</v>
      </c>
      <c r="H533" s="18"/>
      <c r="I533" s="18"/>
      <c r="J533" s="18"/>
      <c r="K533" s="18"/>
      <c r="L533" s="88">
        <f>SUM(F533:K533)</f>
        <v>38249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84999</v>
      </c>
      <c r="G534" s="89">
        <f t="shared" ref="G534:L534" si="40">SUM(G531:G533)</f>
        <v>29748</v>
      </c>
      <c r="H534" s="89">
        <f t="shared" si="40"/>
        <v>0</v>
      </c>
      <c r="I534" s="89">
        <f t="shared" si="40"/>
        <v>0</v>
      </c>
      <c r="J534" s="89">
        <f t="shared" si="40"/>
        <v>0</v>
      </c>
      <c r="K534" s="89">
        <f t="shared" si="40"/>
        <v>0</v>
      </c>
      <c r="L534" s="89">
        <f t="shared" si="40"/>
        <v>114747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1">SUM(G536:G538)</f>
        <v>0</v>
      </c>
      <c r="H539" s="89">
        <f t="shared" si="41"/>
        <v>0</v>
      </c>
      <c r="I539" s="89">
        <f t="shared" si="41"/>
        <v>0</v>
      </c>
      <c r="J539" s="89">
        <f t="shared" si="41"/>
        <v>0</v>
      </c>
      <c r="K539" s="89">
        <f t="shared" si="41"/>
        <v>0</v>
      </c>
      <c r="L539" s="89">
        <f t="shared" si="41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22016</v>
      </c>
      <c r="G541" s="18">
        <v>1684</v>
      </c>
      <c r="H541" s="18">
        <v>24429</v>
      </c>
      <c r="I541" s="18"/>
      <c r="J541" s="18"/>
      <c r="K541" s="18"/>
      <c r="L541" s="88">
        <f>SUM(F541:K541)</f>
        <v>48129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22016</v>
      </c>
      <c r="G542" s="18">
        <v>1684</v>
      </c>
      <c r="H542" s="18">
        <v>19088</v>
      </c>
      <c r="I542" s="18"/>
      <c r="J542" s="18"/>
      <c r="K542" s="18"/>
      <c r="L542" s="88">
        <f>SUM(F542:K542)</f>
        <v>42788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22016</v>
      </c>
      <c r="G543" s="18">
        <v>1684</v>
      </c>
      <c r="H543" s="18">
        <v>28334</v>
      </c>
      <c r="I543" s="18"/>
      <c r="J543" s="18"/>
      <c r="K543" s="18"/>
      <c r="L543" s="88">
        <f>SUM(F543:K543)</f>
        <v>52034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66048</v>
      </c>
      <c r="G544" s="193">
        <f t="shared" ref="G544:L544" si="42">SUM(G541:G543)</f>
        <v>5052</v>
      </c>
      <c r="H544" s="193">
        <f t="shared" si="42"/>
        <v>71851</v>
      </c>
      <c r="I544" s="193">
        <f t="shared" si="42"/>
        <v>0</v>
      </c>
      <c r="J544" s="193">
        <f t="shared" si="42"/>
        <v>0</v>
      </c>
      <c r="K544" s="193">
        <f t="shared" si="42"/>
        <v>0</v>
      </c>
      <c r="L544" s="193">
        <f t="shared" si="42"/>
        <v>142951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1416336</v>
      </c>
      <c r="G545" s="89">
        <f t="shared" ref="G545:L545" si="43">G524+G529+G534+G539+G544</f>
        <v>575922</v>
      </c>
      <c r="H545" s="89">
        <f t="shared" si="43"/>
        <v>859936</v>
      </c>
      <c r="I545" s="89">
        <f t="shared" si="43"/>
        <v>27843</v>
      </c>
      <c r="J545" s="89">
        <f t="shared" si="43"/>
        <v>10627</v>
      </c>
      <c r="K545" s="89">
        <f t="shared" si="43"/>
        <v>2289</v>
      </c>
      <c r="L545" s="89">
        <f t="shared" si="43"/>
        <v>2892953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649707</v>
      </c>
      <c r="G549" s="87">
        <f>L526</f>
        <v>290430</v>
      </c>
      <c r="H549" s="87">
        <f>L531</f>
        <v>38249</v>
      </c>
      <c r="I549" s="87">
        <f>L536</f>
        <v>0</v>
      </c>
      <c r="J549" s="87">
        <f>L541</f>
        <v>48129</v>
      </c>
      <c r="K549" s="87">
        <f>SUM(F549:J549)</f>
        <v>1026515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522198</v>
      </c>
      <c r="G550" s="87">
        <f>L527</f>
        <v>263793</v>
      </c>
      <c r="H550" s="87">
        <f>L532</f>
        <v>38249</v>
      </c>
      <c r="I550" s="87">
        <f>L537</f>
        <v>0</v>
      </c>
      <c r="J550" s="87">
        <f>L542</f>
        <v>42788</v>
      </c>
      <c r="K550" s="87">
        <f>SUM(F550:J550)</f>
        <v>867028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598224</v>
      </c>
      <c r="G551" s="87">
        <f>L528</f>
        <v>310903</v>
      </c>
      <c r="H551" s="87">
        <f>L533</f>
        <v>38249</v>
      </c>
      <c r="I551" s="87">
        <f>L538</f>
        <v>0</v>
      </c>
      <c r="J551" s="87">
        <f>L543</f>
        <v>52034</v>
      </c>
      <c r="K551" s="87">
        <f>SUM(F551:J551)</f>
        <v>999410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4">SUM(F549:F551)</f>
        <v>1770129</v>
      </c>
      <c r="G552" s="89">
        <f t="shared" si="44"/>
        <v>865126</v>
      </c>
      <c r="H552" s="89">
        <f t="shared" si="44"/>
        <v>114747</v>
      </c>
      <c r="I552" s="89">
        <f t="shared" si="44"/>
        <v>0</v>
      </c>
      <c r="J552" s="89">
        <f t="shared" si="44"/>
        <v>142951</v>
      </c>
      <c r="K552" s="89">
        <f t="shared" si="44"/>
        <v>2892953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5">SUM(F557:F559)</f>
        <v>0</v>
      </c>
      <c r="G560" s="108">
        <f t="shared" si="45"/>
        <v>0</v>
      </c>
      <c r="H560" s="108">
        <f t="shared" si="45"/>
        <v>0</v>
      </c>
      <c r="I560" s="108">
        <f t="shared" si="45"/>
        <v>0</v>
      </c>
      <c r="J560" s="108">
        <f t="shared" si="45"/>
        <v>0</v>
      </c>
      <c r="K560" s="108">
        <f t="shared" si="45"/>
        <v>0</v>
      </c>
      <c r="L560" s="89">
        <f t="shared" si="45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6">SUM(F562:F564)</f>
        <v>0</v>
      </c>
      <c r="G565" s="89">
        <f t="shared" si="46"/>
        <v>0</v>
      </c>
      <c r="H565" s="89">
        <f t="shared" si="46"/>
        <v>0</v>
      </c>
      <c r="I565" s="89">
        <f t="shared" si="46"/>
        <v>0</v>
      </c>
      <c r="J565" s="89">
        <f t="shared" si="46"/>
        <v>0</v>
      </c>
      <c r="K565" s="89">
        <f t="shared" si="46"/>
        <v>0</v>
      </c>
      <c r="L565" s="89">
        <f t="shared" si="46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7">SUM(G567:G569)</f>
        <v>0</v>
      </c>
      <c r="H570" s="193">
        <f t="shared" si="47"/>
        <v>0</v>
      </c>
      <c r="I570" s="193">
        <f t="shared" si="47"/>
        <v>0</v>
      </c>
      <c r="J570" s="193">
        <f t="shared" si="47"/>
        <v>0</v>
      </c>
      <c r="K570" s="193">
        <f t="shared" si="47"/>
        <v>0</v>
      </c>
      <c r="L570" s="193">
        <f t="shared" si="47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8">G560+G565+G570</f>
        <v>0</v>
      </c>
      <c r="H571" s="89">
        <f t="shared" si="48"/>
        <v>0</v>
      </c>
      <c r="I571" s="89">
        <f t="shared" si="48"/>
        <v>0</v>
      </c>
      <c r="J571" s="89">
        <f t="shared" si="48"/>
        <v>0</v>
      </c>
      <c r="K571" s="89">
        <f t="shared" si="48"/>
        <v>0</v>
      </c>
      <c r="L571" s="89">
        <f t="shared" si="48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1724</v>
      </c>
      <c r="H575" s="18"/>
      <c r="I575" s="87">
        <f>SUM(F575:H575)</f>
        <v>1724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9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9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9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9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9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9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112696</v>
      </c>
      <c r="G582" s="18">
        <v>298735</v>
      </c>
      <c r="H582" s="18">
        <v>324583</v>
      </c>
      <c r="I582" s="87">
        <f t="shared" si="49"/>
        <v>736014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9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2587</v>
      </c>
      <c r="I584" s="87">
        <f t="shared" si="49"/>
        <v>2587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9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9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9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73806+31453+22337</f>
        <v>127596</v>
      </c>
      <c r="I591" s="18">
        <f>73806+30755+11248</f>
        <v>115809</v>
      </c>
      <c r="J591" s="18">
        <f>73806+31687+12958</f>
        <v>118451</v>
      </c>
      <c r="K591" s="104">
        <f t="shared" ref="K591:K597" si="50">SUM(H591:J591)</f>
        <v>361856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22016+1684+24429</f>
        <v>48129</v>
      </c>
      <c r="I592" s="18">
        <f>22016+1684+19088</f>
        <v>42788</v>
      </c>
      <c r="J592" s="18">
        <f>22016+1684+28334</f>
        <v>52034</v>
      </c>
      <c r="K592" s="104">
        <f t="shared" si="50"/>
        <v>142951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>
        <f>2783</f>
        <v>2783</v>
      </c>
      <c r="J593" s="18">
        <v>4174</v>
      </c>
      <c r="K593" s="104">
        <f t="shared" si="50"/>
        <v>6957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f>8307</f>
        <v>8307</v>
      </c>
      <c r="J594" s="18">
        <v>12461</v>
      </c>
      <c r="K594" s="104">
        <f t="shared" si="50"/>
        <v>20768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2964</v>
      </c>
      <c r="I595" s="18">
        <v>2927</v>
      </c>
      <c r="J595" s="18">
        <v>4391</v>
      </c>
      <c r="K595" s="104">
        <f t="shared" si="50"/>
        <v>10282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0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0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178689</v>
      </c>
      <c r="I598" s="108">
        <f>SUM(I591:I597)</f>
        <v>172614</v>
      </c>
      <c r="J598" s="108">
        <f>SUM(J591:J597)</f>
        <v>191511</v>
      </c>
      <c r="K598" s="108">
        <f>SUM(K591:K597)</f>
        <v>542814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96589+11492+819+23673</f>
        <v>132573</v>
      </c>
      <c r="I604" s="18">
        <f>51990+11492+819+23673</f>
        <v>87974</v>
      </c>
      <c r="J604" s="18">
        <f>77984+11492+819+23674</f>
        <v>113969</v>
      </c>
      <c r="K604" s="104">
        <f>SUM(H604:J604)</f>
        <v>334516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132573</v>
      </c>
      <c r="I605" s="108">
        <f>SUM(I602:I604)</f>
        <v>87974</v>
      </c>
      <c r="J605" s="108">
        <f>SUM(J602:J604)</f>
        <v>113969</v>
      </c>
      <c r="K605" s="108">
        <f>SUM(K602:K604)</f>
        <v>334516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5943</v>
      </c>
      <c r="G611" s="18"/>
      <c r="H611" s="18"/>
      <c r="I611" s="18"/>
      <c r="J611" s="18"/>
      <c r="K611" s="18"/>
      <c r="L611" s="88">
        <f>SUM(F611:K611)</f>
        <v>5943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9007</v>
      </c>
      <c r="G612" s="18"/>
      <c r="H612" s="18"/>
      <c r="I612" s="18"/>
      <c r="J612" s="18"/>
      <c r="K612" s="18"/>
      <c r="L612" s="88">
        <f>SUM(F612:K612)</f>
        <v>9007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13511</v>
      </c>
      <c r="G613" s="18"/>
      <c r="H613" s="18"/>
      <c r="I613" s="18"/>
      <c r="J613" s="18"/>
      <c r="K613" s="18"/>
      <c r="L613" s="88">
        <f>SUM(F613:K613)</f>
        <v>13511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1">SUM(F611:F613)</f>
        <v>28461</v>
      </c>
      <c r="G614" s="108">
        <f t="shared" si="51"/>
        <v>0</v>
      </c>
      <c r="H614" s="108">
        <f t="shared" si="51"/>
        <v>0</v>
      </c>
      <c r="I614" s="108">
        <f t="shared" si="51"/>
        <v>0</v>
      </c>
      <c r="J614" s="108">
        <f t="shared" si="51"/>
        <v>0</v>
      </c>
      <c r="K614" s="108">
        <f t="shared" si="51"/>
        <v>0</v>
      </c>
      <c r="L614" s="89">
        <f t="shared" si="51"/>
        <v>28461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763593</v>
      </c>
      <c r="H617" s="109">
        <f>SUM(F52)</f>
        <v>763593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12027</v>
      </c>
      <c r="H618" s="109">
        <f>SUM(G52)</f>
        <v>12027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40388</v>
      </c>
      <c r="H619" s="109">
        <f>SUM(H52)</f>
        <v>40388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535419</v>
      </c>
      <c r="H620" s="109">
        <f>SUM(I52)</f>
        <v>535419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666136.16999999993</v>
      </c>
      <c r="H621" s="109">
        <f>SUM(J52)</f>
        <v>666136.17000000004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725545</v>
      </c>
      <c r="H622" s="109">
        <f>F476</f>
        <v>725545</v>
      </c>
      <c r="I622" s="121" t="s">
        <v>101</v>
      </c>
      <c r="J622" s="109">
        <f t="shared" ref="J622:J655" si="52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12027</v>
      </c>
      <c r="H623" s="109">
        <f>G476</f>
        <v>12027</v>
      </c>
      <c r="I623" s="121" t="s">
        <v>102</v>
      </c>
      <c r="J623" s="109">
        <f t="shared" si="52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2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535419</v>
      </c>
      <c r="H625" s="109">
        <f>I476</f>
        <v>535419</v>
      </c>
      <c r="I625" s="121" t="s">
        <v>104</v>
      </c>
      <c r="J625" s="109">
        <f t="shared" si="52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666136.17000000004</v>
      </c>
      <c r="H626" s="109">
        <f>J476</f>
        <v>666136.16999999993</v>
      </c>
      <c r="I626" s="140" t="s">
        <v>105</v>
      </c>
      <c r="J626" s="109">
        <f t="shared" si="52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10783860</v>
      </c>
      <c r="H627" s="104">
        <f>SUM(F468)</f>
        <v>10783860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135174</v>
      </c>
      <c r="H628" s="104">
        <f>SUM(G468)</f>
        <v>135174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176853</v>
      </c>
      <c r="H629" s="104">
        <f>SUM(H468)</f>
        <v>176853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70536.679999999993</v>
      </c>
      <c r="H631" s="104">
        <f>SUM(J468)</f>
        <v>70536.679999999993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10548789</v>
      </c>
      <c r="H632" s="104">
        <f>SUM(F472)</f>
        <v>10548789</v>
      </c>
      <c r="I632" s="140" t="s">
        <v>111</v>
      </c>
      <c r="J632" s="109">
        <f t="shared" si="52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176853</v>
      </c>
      <c r="H633" s="104">
        <f>SUM(H472)</f>
        <v>176853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56164</v>
      </c>
      <c r="H634" s="104">
        <f>I369</f>
        <v>56164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134206</v>
      </c>
      <c r="H635" s="104">
        <f>SUM(G472)</f>
        <v>134206</v>
      </c>
      <c r="I635" s="140" t="s">
        <v>114</v>
      </c>
      <c r="J635" s="109">
        <f t="shared" si="52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2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70536.679999999993</v>
      </c>
      <c r="H637" s="164">
        <f>SUM(J468)</f>
        <v>70536.679999999993</v>
      </c>
      <c r="I637" s="165" t="s">
        <v>110</v>
      </c>
      <c r="J637" s="151">
        <f t="shared" si="52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19229.7</v>
      </c>
      <c r="H638" s="164">
        <f>SUM(J472)</f>
        <v>19229.7</v>
      </c>
      <c r="I638" s="165" t="s">
        <v>117</v>
      </c>
      <c r="J638" s="151">
        <f t="shared" si="52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136059.54999999999</v>
      </c>
      <c r="H639" s="104">
        <f>SUM(F461)</f>
        <v>136059.54999999999</v>
      </c>
      <c r="I639" s="140" t="s">
        <v>857</v>
      </c>
      <c r="J639" s="109">
        <f t="shared" si="52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530076.62</v>
      </c>
      <c r="H640" s="104">
        <f>SUM(G461)</f>
        <v>530076.62</v>
      </c>
      <c r="I640" s="140" t="s">
        <v>858</v>
      </c>
      <c r="J640" s="109">
        <f t="shared" si="52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2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666136.16999999993</v>
      </c>
      <c r="H642" s="104">
        <f>SUM(I461)</f>
        <v>666136.17000000004</v>
      </c>
      <c r="I642" s="140" t="s">
        <v>860</v>
      </c>
      <c r="J642" s="109">
        <f t="shared" si="52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2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69.45</v>
      </c>
      <c r="H644" s="104">
        <f>H408</f>
        <v>69.45</v>
      </c>
      <c r="I644" s="140" t="s">
        <v>481</v>
      </c>
      <c r="J644" s="109">
        <f t="shared" si="52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2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70536.679999999993</v>
      </c>
      <c r="H646" s="104">
        <f>L408</f>
        <v>70536.679999999993</v>
      </c>
      <c r="I646" s="140" t="s">
        <v>478</v>
      </c>
      <c r="J646" s="109">
        <f t="shared" si="52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542814</v>
      </c>
      <c r="H647" s="104">
        <f>L208+L226+L244</f>
        <v>542814</v>
      </c>
      <c r="I647" s="140" t="s">
        <v>397</v>
      </c>
      <c r="J647" s="109">
        <f t="shared" si="52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334516</v>
      </c>
      <c r="H648" s="104">
        <f>(J257+J338)-(J255+J336)</f>
        <v>334516</v>
      </c>
      <c r="I648" s="140" t="s">
        <v>703</v>
      </c>
      <c r="J648" s="109">
        <f t="shared" si="52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178689</v>
      </c>
      <c r="H649" s="104">
        <f>H598</f>
        <v>178689</v>
      </c>
      <c r="I649" s="140" t="s">
        <v>389</v>
      </c>
      <c r="J649" s="109">
        <f t="shared" si="52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172614</v>
      </c>
      <c r="H650" s="104">
        <f>I598</f>
        <v>172614</v>
      </c>
      <c r="I650" s="140" t="s">
        <v>390</v>
      </c>
      <c r="J650" s="109">
        <f t="shared" si="52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191511</v>
      </c>
      <c r="H651" s="104">
        <f>J598</f>
        <v>191511</v>
      </c>
      <c r="I651" s="140" t="s">
        <v>391</v>
      </c>
      <c r="J651" s="109">
        <f t="shared" si="52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20000</v>
      </c>
      <c r="H652" s="104">
        <f>K263+K345</f>
        <v>20000</v>
      </c>
      <c r="I652" s="140" t="s">
        <v>398</v>
      </c>
      <c r="J652" s="109">
        <f t="shared" si="52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2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2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2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3734308</v>
      </c>
      <c r="G660" s="19">
        <f>(L229+L309+L359)</f>
        <v>3141075</v>
      </c>
      <c r="H660" s="19">
        <f>(L247+L328+L360)</f>
        <v>3914465</v>
      </c>
      <c r="I660" s="19">
        <f>SUM(F660:H660)</f>
        <v>10789848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24343.029432365172</v>
      </c>
      <c r="G661" s="19">
        <f>(L359/IF(SUM(L358:L360)=0,1,SUM(L358:L360))*(SUM(G97:G110)))</f>
        <v>24342.485283817416</v>
      </c>
      <c r="H661" s="19">
        <f>(L360/IF(SUM(L358:L360)=0,1,SUM(L358:L360))*(SUM(G97:G110)))</f>
        <v>24342.485283817416</v>
      </c>
      <c r="I661" s="19">
        <f>SUM(F661:H661)</f>
        <v>73028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149730</v>
      </c>
      <c r="G662" s="19">
        <f>(L226+L306)-(J226+J306)</f>
        <v>143655</v>
      </c>
      <c r="H662" s="19">
        <f>(L244+L325)-(J244+J325)</f>
        <v>162552</v>
      </c>
      <c r="I662" s="19">
        <f>SUM(F662:H662)</f>
        <v>455937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251212</v>
      </c>
      <c r="G663" s="199">
        <f>SUM(G575:G587)+SUM(I602:I604)+L612</f>
        <v>397440</v>
      </c>
      <c r="H663" s="199">
        <f>SUM(H575:H587)+SUM(J602:J604)+L613</f>
        <v>454650</v>
      </c>
      <c r="I663" s="19">
        <f>SUM(F663:H663)</f>
        <v>1103302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3309022.9705676348</v>
      </c>
      <c r="G664" s="19">
        <f>G660-SUM(G661:G663)</f>
        <v>2575637.5147161828</v>
      </c>
      <c r="H664" s="19">
        <f>H660-SUM(H661:H663)</f>
        <v>3272920.5147161828</v>
      </c>
      <c r="I664" s="19">
        <f>I660-SUM(I661:I663)</f>
        <v>9157581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169.8</v>
      </c>
      <c r="G665" s="248">
        <v>104.58</v>
      </c>
      <c r="H665" s="248">
        <v>131.54</v>
      </c>
      <c r="I665" s="19">
        <f>SUM(F665:H665)</f>
        <v>405.91999999999996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19487.77</v>
      </c>
      <c r="G667" s="19">
        <f>ROUND(G664/G665,2)</f>
        <v>24628.39</v>
      </c>
      <c r="H667" s="19">
        <f>ROUND(H664/H665,2)</f>
        <v>24881.56</v>
      </c>
      <c r="I667" s="19">
        <f>ROUND(I664/I665,2)</f>
        <v>22560.06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-1.06</v>
      </c>
      <c r="I670" s="19">
        <f>SUM(F670:H670)</f>
        <v>-1.06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19487.77</v>
      </c>
      <c r="G672" s="19">
        <f>ROUND((G664+G669)/(G665+G670),2)</f>
        <v>24628.39</v>
      </c>
      <c r="H672" s="19">
        <f>ROUND((H664+H669)/(H665+H670),2)</f>
        <v>25083.69</v>
      </c>
      <c r="I672" s="19">
        <f>ROUND((I664+I669)/(I665+I670),2)</f>
        <v>22619.13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Sunapee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2610162</v>
      </c>
      <c r="C9" s="229">
        <f>'DOE25'!G197+'DOE25'!G215+'DOE25'!G233+'DOE25'!G276+'DOE25'!G295+'DOE25'!G314</f>
        <v>1254516</v>
      </c>
    </row>
    <row r="10" spans="1:3" x14ac:dyDescent="0.2">
      <c r="A10" t="s">
        <v>779</v>
      </c>
      <c r="B10" s="240">
        <v>2505558</v>
      </c>
      <c r="C10" s="240">
        <v>1229426</v>
      </c>
    </row>
    <row r="11" spans="1:3" x14ac:dyDescent="0.2">
      <c r="A11" t="s">
        <v>780</v>
      </c>
      <c r="B11" s="240">
        <v>56180</v>
      </c>
      <c r="C11" s="240">
        <v>25090</v>
      </c>
    </row>
    <row r="12" spans="1:3" x14ac:dyDescent="0.2">
      <c r="A12" t="s">
        <v>781</v>
      </c>
      <c r="B12" s="240">
        <v>48424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2610162</v>
      </c>
      <c r="C13" s="231">
        <f>SUM(C10:C12)</f>
        <v>1254516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818589</v>
      </c>
      <c r="C18" s="229">
        <f>'DOE25'!G198+'DOE25'!G216+'DOE25'!G234+'DOE25'!G277+'DOE25'!G296+'DOE25'!G315</f>
        <v>325094</v>
      </c>
    </row>
    <row r="19" spans="1:3" x14ac:dyDescent="0.2">
      <c r="A19" t="s">
        <v>779</v>
      </c>
      <c r="B19" s="240">
        <v>454179</v>
      </c>
      <c r="C19" s="240">
        <v>172300</v>
      </c>
    </row>
    <row r="20" spans="1:3" x14ac:dyDescent="0.2">
      <c r="A20" t="s">
        <v>780</v>
      </c>
      <c r="B20" s="240">
        <v>241982</v>
      </c>
      <c r="C20" s="240">
        <v>83112</v>
      </c>
    </row>
    <row r="21" spans="1:3" x14ac:dyDescent="0.2">
      <c r="A21" t="s">
        <v>781</v>
      </c>
      <c r="B21" s="240">
        <v>122428</v>
      </c>
      <c r="C21" s="240">
        <v>69682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818589</v>
      </c>
      <c r="C22" s="231">
        <f>SUM(C19:C21)</f>
        <v>325094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143761</v>
      </c>
      <c r="C36" s="235">
        <f>'DOE25'!G200+'DOE25'!G218+'DOE25'!G236+'DOE25'!G279+'DOE25'!G298+'DOE25'!G317</f>
        <v>60645</v>
      </c>
    </row>
    <row r="37" spans="1:3" x14ac:dyDescent="0.2">
      <c r="A37" t="s">
        <v>779</v>
      </c>
      <c r="B37" s="240">
        <v>143761</v>
      </c>
      <c r="C37" s="240">
        <v>60645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143761</v>
      </c>
      <c r="C40" s="231">
        <f>SUM(C37:C39)</f>
        <v>60645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Sunapee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6175032</v>
      </c>
      <c r="D5" s="20">
        <f>SUM('DOE25'!L197:L200)+SUM('DOE25'!L215:L218)+SUM('DOE25'!L233:L236)-F5-G5</f>
        <v>6121316</v>
      </c>
      <c r="E5" s="243"/>
      <c r="F5" s="255">
        <f>SUM('DOE25'!J197:J200)+SUM('DOE25'!J215:J218)+SUM('DOE25'!J233:J236)</f>
        <v>43627</v>
      </c>
      <c r="G5" s="53">
        <f>SUM('DOE25'!K197:K200)+SUM('DOE25'!K215:K218)+SUM('DOE25'!K233:K236)</f>
        <v>10089</v>
      </c>
      <c r="H5" s="259"/>
    </row>
    <row r="6" spans="1:9" x14ac:dyDescent="0.2">
      <c r="A6" s="32">
        <v>2100</v>
      </c>
      <c r="B6" t="s">
        <v>801</v>
      </c>
      <c r="C6" s="245">
        <f t="shared" si="0"/>
        <v>865126</v>
      </c>
      <c r="D6" s="20">
        <f>'DOE25'!L202+'DOE25'!L220+'DOE25'!L238-F6-G6</f>
        <v>865126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784311</v>
      </c>
      <c r="D7" s="20">
        <f>'DOE25'!L203+'DOE25'!L221+'DOE25'!L239-F7-G7</f>
        <v>618933</v>
      </c>
      <c r="E7" s="243"/>
      <c r="F7" s="255">
        <f>'DOE25'!J203+'DOE25'!J221+'DOE25'!J239</f>
        <v>165378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271798</v>
      </c>
      <c r="D8" s="243"/>
      <c r="E8" s="20">
        <f>'DOE25'!L204+'DOE25'!L222+'DOE25'!L240-F8-G8-D9-D11</f>
        <v>261142</v>
      </c>
      <c r="F8" s="255">
        <f>'DOE25'!J204+'DOE25'!J222+'DOE25'!J240</f>
        <v>0</v>
      </c>
      <c r="G8" s="53">
        <f>'DOE25'!K204+'DOE25'!K222+'DOE25'!K240</f>
        <v>10656</v>
      </c>
      <c r="H8" s="259"/>
    </row>
    <row r="9" spans="1:9" x14ac:dyDescent="0.2">
      <c r="A9" s="32">
        <v>2310</v>
      </c>
      <c r="B9" t="s">
        <v>818</v>
      </c>
      <c r="C9" s="245">
        <f t="shared" si="0"/>
        <v>43323</v>
      </c>
      <c r="D9" s="244">
        <v>43323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10500</v>
      </c>
      <c r="D10" s="243"/>
      <c r="E10" s="244">
        <v>10500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161568</v>
      </c>
      <c r="D11" s="244">
        <v>161568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511214</v>
      </c>
      <c r="D12" s="20">
        <f>'DOE25'!L205+'DOE25'!L223+'DOE25'!L241-F12-G12</f>
        <v>505481</v>
      </c>
      <c r="E12" s="243"/>
      <c r="F12" s="255">
        <f>'DOE25'!J205+'DOE25'!J223+'DOE25'!J241</f>
        <v>0</v>
      </c>
      <c r="G12" s="53">
        <f>'DOE25'!K205+'DOE25'!K223+'DOE25'!K241</f>
        <v>5733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1123603</v>
      </c>
      <c r="D14" s="20">
        <f>'DOE25'!L207+'DOE25'!L225+'DOE25'!L243-F14-G14</f>
        <v>1100777</v>
      </c>
      <c r="E14" s="243"/>
      <c r="F14" s="255">
        <f>'DOE25'!J207+'DOE25'!J225+'DOE25'!J243</f>
        <v>22826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542814</v>
      </c>
      <c r="D15" s="20">
        <f>'DOE25'!L208+'DOE25'!L226+'DOE25'!L244-F15-G15</f>
        <v>453243</v>
      </c>
      <c r="E15" s="243"/>
      <c r="F15" s="255">
        <f>'DOE25'!J208+'DOE25'!J226+'DOE25'!J244</f>
        <v>88932</v>
      </c>
      <c r="G15" s="53">
        <f>'DOE25'!K208+'DOE25'!K226+'DOE25'!K244</f>
        <v>639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79089</v>
      </c>
      <c r="D29" s="20">
        <f>'DOE25'!L358+'DOE25'!L359+'DOE25'!L360-'DOE25'!I367-F29-G29</f>
        <v>78189</v>
      </c>
      <c r="E29" s="243"/>
      <c r="F29" s="255">
        <f>'DOE25'!J358+'DOE25'!J359+'DOE25'!J360</f>
        <v>0</v>
      </c>
      <c r="G29" s="53">
        <f>'DOE25'!K358+'DOE25'!K359+'DOE25'!K360</f>
        <v>900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176853</v>
      </c>
      <c r="D31" s="20">
        <f>'DOE25'!L290+'DOE25'!L309+'DOE25'!L328+'DOE25'!L333+'DOE25'!L334+'DOE25'!L335-F31-G31</f>
        <v>163100</v>
      </c>
      <c r="E31" s="243"/>
      <c r="F31" s="255">
        <f>'DOE25'!J290+'DOE25'!J309+'DOE25'!J328+'DOE25'!J333+'DOE25'!J334+'DOE25'!J335</f>
        <v>13753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10111056</v>
      </c>
      <c r="E33" s="246">
        <f>SUM(E5:E31)</f>
        <v>271642</v>
      </c>
      <c r="F33" s="246">
        <f>SUM(F5:F31)</f>
        <v>334516</v>
      </c>
      <c r="G33" s="246">
        <f>SUM(G5:G31)</f>
        <v>28017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271642</v>
      </c>
      <c r="E35" s="249"/>
    </row>
    <row r="36" spans="2:8" ht="12" thickTop="1" x14ac:dyDescent="0.2">
      <c r="B36" t="s">
        <v>815</v>
      </c>
      <c r="D36" s="20">
        <f>D33</f>
        <v>10111056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51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Sunapee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685170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25127</v>
      </c>
      <c r="D11" s="95">
        <f>'DOE25'!G12</f>
        <v>8748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3279</v>
      </c>
      <c r="E12" s="95">
        <f>'DOE25'!H13</f>
        <v>40388</v>
      </c>
      <c r="F12" s="95">
        <f>'DOE25'!I13</f>
        <v>535419</v>
      </c>
      <c r="G12" s="95">
        <f>'DOE25'!J13</f>
        <v>666136.16999999993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53296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763593</v>
      </c>
      <c r="D18" s="41">
        <f>SUM(D8:D17)</f>
        <v>12027</v>
      </c>
      <c r="E18" s="41">
        <f>SUM(E8:E17)</f>
        <v>40388</v>
      </c>
      <c r="F18" s="41">
        <f>SUM(F8:F17)</f>
        <v>535419</v>
      </c>
      <c r="G18" s="41">
        <f>SUM(G8:G17)</f>
        <v>666136.16999999993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33875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38048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6513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38048</v>
      </c>
      <c r="D31" s="41">
        <f>SUM(D21:D30)</f>
        <v>0</v>
      </c>
      <c r="E31" s="41">
        <f>SUM(E21:E30)</f>
        <v>40388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130717.04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12027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535419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319086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150000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535419.13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181459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725545</v>
      </c>
      <c r="D50" s="41">
        <f>SUM(D34:D49)</f>
        <v>12027</v>
      </c>
      <c r="E50" s="41">
        <f>SUM(E34:E49)</f>
        <v>0</v>
      </c>
      <c r="F50" s="41">
        <f>SUM(F34:F49)</f>
        <v>535419</v>
      </c>
      <c r="G50" s="41">
        <f>SUM(G34:G49)</f>
        <v>666136.17000000004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763593</v>
      </c>
      <c r="D51" s="41">
        <f>D50+D31</f>
        <v>12027</v>
      </c>
      <c r="E51" s="41">
        <f>E50+E31</f>
        <v>40388</v>
      </c>
      <c r="F51" s="41">
        <f>F50+F31</f>
        <v>535419</v>
      </c>
      <c r="G51" s="41">
        <f>G50+G31</f>
        <v>666136.17000000004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7345434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183491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237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69.45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73028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4956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20467.23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188684</v>
      </c>
      <c r="D62" s="130">
        <f>SUM(D57:D61)</f>
        <v>73028</v>
      </c>
      <c r="E62" s="130">
        <f>SUM(E57:E61)</f>
        <v>0</v>
      </c>
      <c r="F62" s="130">
        <f>SUM(F57:F61)</f>
        <v>0</v>
      </c>
      <c r="G62" s="130">
        <f>SUM(G57:G61)</f>
        <v>20536.68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7534118</v>
      </c>
      <c r="D63" s="22">
        <f>D56+D62</f>
        <v>73028</v>
      </c>
      <c r="E63" s="22">
        <f>E56+E62</f>
        <v>0</v>
      </c>
      <c r="F63" s="22">
        <f>F56+F62</f>
        <v>0</v>
      </c>
      <c r="G63" s="22">
        <f>G56+G62</f>
        <v>20536.68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18441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2819928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2838369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289595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1458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1530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291053</v>
      </c>
      <c r="D78" s="130">
        <f>SUM(D72:D77)</f>
        <v>1530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3129422</v>
      </c>
      <c r="D81" s="130">
        <f>SUM(D79:D80)+D78+D70</f>
        <v>1530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120320</v>
      </c>
      <c r="D88" s="95">
        <f>SUM('DOE25'!G153:G161)</f>
        <v>40616</v>
      </c>
      <c r="E88" s="95">
        <f>SUM('DOE25'!H153:H161)</f>
        <v>176853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120320</v>
      </c>
      <c r="D91" s="131">
        <f>SUM(D85:D90)</f>
        <v>40616</v>
      </c>
      <c r="E91" s="131">
        <f>SUM(E85:E90)</f>
        <v>176853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20000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20000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10783860</v>
      </c>
      <c r="D104" s="86">
        <f>D63+D81+D91+D103</f>
        <v>135174</v>
      </c>
      <c r="E104" s="86">
        <f>E63+E81+E91+E103</f>
        <v>176853</v>
      </c>
      <c r="F104" s="86">
        <f>F63+F81+F91+F103</f>
        <v>0</v>
      </c>
      <c r="G104" s="86">
        <f>G63+G81+G103</f>
        <v>70536.679999999993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4005965</v>
      </c>
      <c r="D109" s="24" t="s">
        <v>289</v>
      </c>
      <c r="E109" s="95">
        <f>('DOE25'!L276)+('DOE25'!L295)+('DOE25'!L314)</f>
        <v>37750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1869875</v>
      </c>
      <c r="D110" s="24" t="s">
        <v>289</v>
      </c>
      <c r="E110" s="95">
        <f>('DOE25'!L277)+('DOE25'!L296)+('DOE25'!L315)</f>
        <v>92287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4311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294881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6175032</v>
      </c>
      <c r="D115" s="86">
        <f>SUM(D109:D114)</f>
        <v>0</v>
      </c>
      <c r="E115" s="86">
        <f>SUM(E109:E114)</f>
        <v>130037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865126</v>
      </c>
      <c r="D118" s="24" t="s">
        <v>289</v>
      </c>
      <c r="E118" s="95">
        <f>+('DOE25'!L281)+('DOE25'!L300)+('DOE25'!L319)</f>
        <v>20707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784311</v>
      </c>
      <c r="D119" s="24" t="s">
        <v>289</v>
      </c>
      <c r="E119" s="95">
        <f>+('DOE25'!L282)+('DOE25'!L301)+('DOE25'!L320)</f>
        <v>23067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476689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511214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1123603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542814</v>
      </c>
      <c r="D124" s="24" t="s">
        <v>289</v>
      </c>
      <c r="E124" s="95">
        <f>+('DOE25'!L287)+('DOE25'!L306)+('DOE25'!L325)</f>
        <v>3042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134206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4303757</v>
      </c>
      <c r="D128" s="86">
        <f>SUM(D118:D127)</f>
        <v>134206</v>
      </c>
      <c r="E128" s="86">
        <f>SUM(E118:E127)</f>
        <v>46816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19229.7</v>
      </c>
    </row>
    <row r="135" spans="1:7" x14ac:dyDescent="0.2">
      <c r="A135" t="s">
        <v>233</v>
      </c>
      <c r="B135" s="32" t="s">
        <v>234</v>
      </c>
      <c r="C135" s="95">
        <f>'DOE25'!L263</f>
        <v>20000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14.84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70521.84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-20536.679999999993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19229.7</v>
      </c>
    </row>
    <row r="145" spans="1:9" ht="12.75" thickTop="1" thickBot="1" x14ac:dyDescent="0.25">
      <c r="A145" s="33" t="s">
        <v>244</v>
      </c>
      <c r="C145" s="86">
        <f>(C115+C128+C144)</f>
        <v>10548789</v>
      </c>
      <c r="D145" s="86">
        <f>(D115+D128+D144)</f>
        <v>134206</v>
      </c>
      <c r="E145" s="86">
        <f>(E115+E128+E144)</f>
        <v>176853</v>
      </c>
      <c r="F145" s="86">
        <f>(F115+F128+F144)</f>
        <v>0</v>
      </c>
      <c r="G145" s="86">
        <f>(G115+G128+G144)</f>
        <v>19229.7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7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Sunapee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19488</v>
      </c>
    </row>
    <row r="5" spans="1:4" x14ac:dyDescent="0.2">
      <c r="B5" t="s">
        <v>704</v>
      </c>
      <c r="C5" s="179">
        <f>IF('DOE25'!G665+'DOE25'!G670=0,0,ROUND('DOE25'!G672,0))</f>
        <v>24628</v>
      </c>
    </row>
    <row r="6" spans="1:4" x14ac:dyDescent="0.2">
      <c r="B6" t="s">
        <v>62</v>
      </c>
      <c r="C6" s="179">
        <f>IF('DOE25'!H665+'DOE25'!H670=0,0,ROUND('DOE25'!H672,0))</f>
        <v>25084</v>
      </c>
    </row>
    <row r="7" spans="1:4" x14ac:dyDescent="0.2">
      <c r="B7" t="s">
        <v>705</v>
      </c>
      <c r="C7" s="179">
        <f>IF('DOE25'!I665+'DOE25'!I670=0,0,ROUND('DOE25'!I672,0))</f>
        <v>22619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4043715</v>
      </c>
      <c r="D10" s="182">
        <f>ROUND((C10/$C$28)*100,1)</f>
        <v>37.700000000000003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1962162</v>
      </c>
      <c r="D11" s="182">
        <f>ROUND((C11/$C$28)*100,1)</f>
        <v>18.3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4311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294881</v>
      </c>
      <c r="D13" s="182">
        <f>ROUND((C13/$C$28)*100,1)</f>
        <v>2.8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885833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807378</v>
      </c>
      <c r="D16" s="182">
        <f t="shared" si="0"/>
        <v>7.5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476689</v>
      </c>
      <c r="D17" s="182">
        <f t="shared" si="0"/>
        <v>4.4000000000000004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511214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1123603</v>
      </c>
      <c r="D20" s="182">
        <f t="shared" si="0"/>
        <v>10.5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545856</v>
      </c>
      <c r="D21" s="182">
        <f t="shared" si="0"/>
        <v>5.0999999999999996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61178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10716820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10716820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7345434</v>
      </c>
      <c r="D35" s="182">
        <f t="shared" ref="D35:D40" si="1">ROUND((C35/$C$41)*100,1)</f>
        <v>66.599999999999994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209220.6799999997</v>
      </c>
      <c r="D36" s="182">
        <f t="shared" si="1"/>
        <v>1.9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2838369</v>
      </c>
      <c r="D37" s="182">
        <f t="shared" si="1"/>
        <v>25.7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292583</v>
      </c>
      <c r="D38" s="182">
        <f t="shared" si="1"/>
        <v>2.7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337789</v>
      </c>
      <c r="D39" s="182">
        <f t="shared" si="1"/>
        <v>3.1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11023395.68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Sunapee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2015-10-26T18:45:03Z</cp:lastPrinted>
  <dcterms:created xsi:type="dcterms:W3CDTF">1997-12-04T19:04:30Z</dcterms:created>
  <dcterms:modified xsi:type="dcterms:W3CDTF">2015-11-30T14:27:27Z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