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13" i="2" l="1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9" i="2"/>
  <c r="F9" i="2"/>
  <c r="E9" i="2"/>
  <c r="D9" i="2"/>
  <c r="G8" i="2"/>
  <c r="F8" i="2"/>
  <c r="E8" i="2"/>
  <c r="D8" i="2"/>
  <c r="D29" i="2"/>
  <c r="D28" i="2"/>
  <c r="C24" i="2"/>
  <c r="C23" i="2"/>
  <c r="H637" i="1" l="1"/>
  <c r="H631" i="1"/>
  <c r="J465" i="1" l="1"/>
  <c r="H523" i="1"/>
  <c r="H198" i="1"/>
  <c r="H591" i="1"/>
  <c r="J591" i="1"/>
  <c r="D11" i="13"/>
  <c r="H636" i="1" l="1"/>
  <c r="H630" i="1"/>
  <c r="C11" i="12" l="1"/>
  <c r="C10" i="12"/>
  <c r="B10" i="12"/>
  <c r="F50" i="1" l="1"/>
  <c r="F472" i="1"/>
  <c r="F367" i="1" l="1"/>
  <c r="F14" i="1"/>
  <c r="F29" i="1"/>
  <c r="F24" i="1"/>
  <c r="F13" i="1"/>
  <c r="F10" i="1"/>
  <c r="J276" i="1"/>
  <c r="H282" i="1"/>
  <c r="H472" i="1"/>
  <c r="G472" i="1"/>
  <c r="G468" i="1"/>
  <c r="G97" i="1"/>
  <c r="H155" i="1"/>
  <c r="H468" i="1"/>
  <c r="H23" i="1"/>
  <c r="H29" i="1"/>
  <c r="H24" i="1" l="1"/>
  <c r="H13" i="1"/>
  <c r="F502" i="1"/>
  <c r="F499" i="1"/>
  <c r="H197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H662" i="1" s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8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I439" i="1"/>
  <c r="J9" i="1" s="1"/>
  <c r="C9" i="2"/>
  <c r="I440" i="1"/>
  <c r="J10" i="1" s="1"/>
  <c r="C10" i="2"/>
  <c r="I441" i="1"/>
  <c r="J12" i="1" s="1"/>
  <c r="I442" i="1"/>
  <c r="J13" i="1" s="1"/>
  <c r="I443" i="1"/>
  <c r="J14" i="1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D23" i="2"/>
  <c r="E23" i="2"/>
  <c r="F23" i="2"/>
  <c r="I450" i="1"/>
  <c r="J24" i="1" s="1"/>
  <c r="G23" i="2" s="1"/>
  <c r="D24" i="2"/>
  <c r="E24" i="2"/>
  <c r="F24" i="2"/>
  <c r="C25" i="2"/>
  <c r="F25" i="2"/>
  <c r="C26" i="2"/>
  <c r="F26" i="2"/>
  <c r="C27" i="2"/>
  <c r="D27" i="2"/>
  <c r="E27" i="2"/>
  <c r="F27" i="2"/>
  <c r="C28" i="2"/>
  <c r="E28" i="2"/>
  <c r="F28" i="2"/>
  <c r="C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20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H54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24" i="1"/>
  <c r="H627" i="1"/>
  <c r="H628" i="1"/>
  <c r="H629" i="1"/>
  <c r="H632" i="1"/>
  <c r="H633" i="1"/>
  <c r="H635" i="1"/>
  <c r="H638" i="1"/>
  <c r="G639" i="1"/>
  <c r="H639" i="1"/>
  <c r="G641" i="1"/>
  <c r="H641" i="1"/>
  <c r="G643" i="1"/>
  <c r="H643" i="1"/>
  <c r="G644" i="1"/>
  <c r="H644" i="1"/>
  <c r="G645" i="1"/>
  <c r="G650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L427" i="1"/>
  <c r="J257" i="1"/>
  <c r="J271" i="1" s="1"/>
  <c r="H112" i="1"/>
  <c r="F112" i="1"/>
  <c r="J641" i="1"/>
  <c r="J639" i="1"/>
  <c r="J571" i="1"/>
  <c r="K571" i="1"/>
  <c r="L433" i="1"/>
  <c r="L419" i="1"/>
  <c r="I169" i="1"/>
  <c r="J644" i="1"/>
  <c r="J643" i="1"/>
  <c r="F476" i="1"/>
  <c r="H622" i="1" s="1"/>
  <c r="J140" i="1"/>
  <c r="F571" i="1"/>
  <c r="I552" i="1"/>
  <c r="K550" i="1"/>
  <c r="G22" i="2"/>
  <c r="K545" i="1"/>
  <c r="C29" i="10"/>
  <c r="H140" i="1"/>
  <c r="L401" i="1"/>
  <c r="C139" i="2" s="1"/>
  <c r="L393" i="1"/>
  <c r="C138" i="2" s="1"/>
  <c r="F22" i="13"/>
  <c r="C22" i="13" s="1"/>
  <c r="H571" i="1"/>
  <c r="L560" i="1"/>
  <c r="J545" i="1"/>
  <c r="F338" i="1"/>
  <c r="F352" i="1" s="1"/>
  <c r="G192" i="1"/>
  <c r="H192" i="1"/>
  <c r="L309" i="1"/>
  <c r="J655" i="1"/>
  <c r="L570" i="1"/>
  <c r="I571" i="1"/>
  <c r="G36" i="2"/>
  <c r="L565" i="1"/>
  <c r="L524" i="1" l="1"/>
  <c r="C110" i="2"/>
  <c r="J640" i="1"/>
  <c r="A40" i="12"/>
  <c r="A13" i="12"/>
  <c r="I545" i="1"/>
  <c r="L544" i="1"/>
  <c r="J552" i="1"/>
  <c r="K549" i="1"/>
  <c r="K552" i="1" s="1"/>
  <c r="L534" i="1"/>
  <c r="G625" i="1"/>
  <c r="C132" i="2"/>
  <c r="C25" i="10"/>
  <c r="I476" i="1"/>
  <c r="H625" i="1" s="1"/>
  <c r="J636" i="1"/>
  <c r="J645" i="1"/>
  <c r="A31" i="12"/>
  <c r="D19" i="13"/>
  <c r="C19" i="13" s="1"/>
  <c r="D18" i="13"/>
  <c r="C18" i="13" s="1"/>
  <c r="E13" i="13"/>
  <c r="C13" i="13" s="1"/>
  <c r="D50" i="2"/>
  <c r="K598" i="1"/>
  <c r="G647" i="1" s="1"/>
  <c r="J649" i="1"/>
  <c r="L362" i="1"/>
  <c r="H661" i="1"/>
  <c r="D127" i="2"/>
  <c r="D128" i="2" s="1"/>
  <c r="D145" i="2" s="1"/>
  <c r="E103" i="2"/>
  <c r="D62" i="2"/>
  <c r="D63" i="2" s="1"/>
  <c r="C70" i="2"/>
  <c r="D31" i="2"/>
  <c r="G651" i="1"/>
  <c r="J651" i="1" s="1"/>
  <c r="L247" i="1"/>
  <c r="H660" i="1" s="1"/>
  <c r="I460" i="1"/>
  <c r="I461" i="1" s="1"/>
  <c r="H642" i="1" s="1"/>
  <c r="H52" i="1"/>
  <c r="H619" i="1" s="1"/>
  <c r="J619" i="1" s="1"/>
  <c r="C78" i="2"/>
  <c r="E31" i="2"/>
  <c r="G161" i="2"/>
  <c r="G157" i="2"/>
  <c r="D91" i="2"/>
  <c r="D81" i="2"/>
  <c r="E78" i="2"/>
  <c r="E81" i="2" s="1"/>
  <c r="F78" i="2"/>
  <c r="F81" i="2" s="1"/>
  <c r="E62" i="2"/>
  <c r="E63" i="2" s="1"/>
  <c r="D18" i="2"/>
  <c r="F18" i="2"/>
  <c r="G62" i="2"/>
  <c r="G63" i="2" s="1"/>
  <c r="D14" i="13"/>
  <c r="C14" i="13" s="1"/>
  <c r="G81" i="2"/>
  <c r="G164" i="2"/>
  <c r="G156" i="2"/>
  <c r="E8" i="13"/>
  <c r="C8" i="13" s="1"/>
  <c r="K503" i="1"/>
  <c r="K500" i="1"/>
  <c r="G476" i="1"/>
  <c r="H623" i="1" s="1"/>
  <c r="J623" i="1" s="1"/>
  <c r="I446" i="1"/>
  <c r="G642" i="1" s="1"/>
  <c r="I369" i="1"/>
  <c r="H634" i="1" s="1"/>
  <c r="J634" i="1" s="1"/>
  <c r="D29" i="13"/>
  <c r="C29" i="13" s="1"/>
  <c r="G661" i="1"/>
  <c r="I661" i="1" s="1"/>
  <c r="E128" i="2"/>
  <c r="C15" i="10"/>
  <c r="E115" i="2"/>
  <c r="C11" i="10"/>
  <c r="L290" i="1"/>
  <c r="L338" i="1" s="1"/>
  <c r="L352" i="1" s="1"/>
  <c r="G633" i="1" s="1"/>
  <c r="J633" i="1" s="1"/>
  <c r="H257" i="1"/>
  <c r="H271" i="1" s="1"/>
  <c r="C10" i="10"/>
  <c r="H647" i="1"/>
  <c r="C124" i="2"/>
  <c r="F662" i="1"/>
  <c r="I662" i="1" s="1"/>
  <c r="C21" i="10"/>
  <c r="D15" i="13"/>
  <c r="C15" i="13" s="1"/>
  <c r="D12" i="13"/>
  <c r="C12" i="13" s="1"/>
  <c r="C17" i="10"/>
  <c r="C120" i="2"/>
  <c r="D7" i="13"/>
  <c r="C7" i="13" s="1"/>
  <c r="C16" i="10"/>
  <c r="C118" i="2"/>
  <c r="D6" i="13"/>
  <c r="C6" i="13" s="1"/>
  <c r="C109" i="2"/>
  <c r="C115" i="2" s="1"/>
  <c r="L211" i="1"/>
  <c r="D5" i="13"/>
  <c r="C5" i="13" s="1"/>
  <c r="K271" i="1"/>
  <c r="H33" i="13"/>
  <c r="C91" i="2"/>
  <c r="C62" i="2"/>
  <c r="C63" i="2" s="1"/>
  <c r="C35" i="10"/>
  <c r="C36" i="10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J642" i="1" l="1"/>
  <c r="L257" i="1"/>
  <c r="L271" i="1" s="1"/>
  <c r="G632" i="1" s="1"/>
  <c r="J632" i="1" s="1"/>
  <c r="L545" i="1"/>
  <c r="J625" i="1"/>
  <c r="C81" i="2"/>
  <c r="H646" i="1"/>
  <c r="J646" i="1" s="1"/>
  <c r="E104" i="2"/>
  <c r="D51" i="2"/>
  <c r="J647" i="1"/>
  <c r="H664" i="1"/>
  <c r="H667" i="1" s="1"/>
  <c r="F104" i="2"/>
  <c r="G51" i="2"/>
  <c r="E33" i="13"/>
  <c r="D35" i="13" s="1"/>
  <c r="D104" i="2"/>
  <c r="E51" i="2"/>
  <c r="G104" i="2"/>
  <c r="G664" i="1"/>
  <c r="G667" i="1" s="1"/>
  <c r="E145" i="2"/>
  <c r="D31" i="13"/>
  <c r="C31" i="13" s="1"/>
  <c r="C128" i="2"/>
  <c r="C145" i="2" s="1"/>
  <c r="C28" i="10"/>
  <c r="D24" i="10" s="1"/>
  <c r="F660" i="1"/>
  <c r="F664" i="1" s="1"/>
  <c r="F672" i="1" s="1"/>
  <c r="C4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D33" i="13"/>
  <c r="D36" i="13" s="1"/>
  <c r="D25" i="10"/>
  <c r="D20" i="10"/>
  <c r="D26" i="10"/>
  <c r="D1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<sst xmlns="http://schemas.openxmlformats.org/spreadsheetml/2006/main" count="3956" uniqueCount="914">
  <si>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</si>
  <si>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</si>
  <si>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</si>
  <si>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</si>
  <si>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</si>
  <si>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</si>
  <si>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</si>
  <si>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</si>
  <si>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</si>
  <si>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</si>
  <si>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</si>
  <si>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</si>
  <si>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</si>
  <si>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</si>
  <si>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</si>
  <si>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</si>
  <si>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</si>
  <si>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</si>
  <si>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</si>
  <si>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</si>
  <si>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</si>
  <si>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</si>
  <si>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</si>
  <si>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</si>
  <si>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</si>
  <si>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</si>
  <si>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</si>
  <si>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</si>
  <si>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</si>
  <si>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</si>
  <si>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</si>
  <si>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</si>
  <si>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</si>
  <si>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</si>
  <si>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</si>
  <si>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</si>
  <si>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</si>
  <si>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</si>
  <si>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</si>
  <si>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</si>
  <si>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</si>
  <si>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</si>
  <si>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</si>
  <si>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</si>
  <si>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</si>
  <si>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</si>
  <si>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</si>
  <si>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</si>
  <si>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</si>
  <si>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</si>
  <si>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</si>
  <si>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</si>
  <si>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</si>
  <si>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</si>
  <si>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</si>
  <si>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</si>
  <si>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</si>
  <si>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</si>
  <si>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</si>
  <si>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</si>
  <si>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</si>
  <si>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</si>
  <si>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</si>
  <si>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</si>
  <si>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</si>
  <si>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</si>
  <si>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</si>
  <si>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</si>
  <si>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</si>
  <si>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</si>
  <si>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</si>
  <si>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</si>
  <si>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</si>
  <si>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</si>
  <si>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</si>
  <si>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</si>
  <si>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</si>
  <si>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</si>
  <si>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</si>
  <si>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</si>
  <si>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</si>
  <si>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</si>
  <si>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</si>
  <si>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</si>
  <si>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</si>
  <si>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</si>
  <si>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</si>
  <si>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</si>
  <si>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</si>
  <si>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</si>
  <si>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</si>
  <si>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</si>
  <si>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</si>
  <si>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</si>
  <si>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</si>
  <si>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</si>
  <si>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</si>
  <si>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</si>
  <si>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</si>
  <si>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</si>
  <si>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</si>
  <si>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</si>
  <si>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</si>
  <si>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</si>
  <si>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</si>
  <si>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</si>
  <si>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</si>
  <si>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</si>
  <si>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</si>
  <si>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</si>
  <si>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</si>
  <si>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</si>
  <si>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</si>
  <si>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</si>
  <si>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</si>
  <si>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</si>
  <si>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</si>
  <si>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</si>
  <si>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</si>
  <si>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</si>
  <si>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</si>
  <si>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</si>
  <si>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</si>
  <si>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</si>
  <si>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</si>
  <si>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</si>
  <si>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</si>
  <si>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</si>
  <si>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</si>
  <si>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</si>
  <si>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</si>
  <si>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</si>
  <si>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</si>
  <si>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</si>
  <si>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</si>
  <si>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</si>
  <si>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</si>
  <si>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</si>
  <si>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</si>
  <si>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</si>
  <si>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</si>
  <si>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</si>
  <si>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</si>
  <si>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</si>
  <si>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</si>
  <si>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</si>
  <si>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</si>
  <si>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</si>
  <si>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</si>
  <si>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</si>
  <si>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</si>
  <si>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</si>
  <si>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</si>
  <si>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</si>
  <si>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</si>
  <si>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</si>
  <si>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</si>
  <si>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</si>
  <si>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</si>
  <si>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</si>
  <si>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</si>
  <si>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</si>
  <si>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</si>
  <si>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</si>
  <si>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</si>
  <si>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</si>
  <si>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</si>
  <si>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</si>
  <si>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</si>
  <si>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</si>
  <si>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</si>
  <si>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</si>
  <si>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</si>
  <si>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</si>
  <si>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</si>
  <si>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</si>
  <si>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</si>
  <si>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</si>
  <si>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</si>
  <si>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</si>
  <si>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</si>
  <si>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</si>
  <si>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</si>
  <si>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</si>
  <si>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</si>
  <si>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</si>
  <si>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</si>
  <si>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</si>
  <si>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</si>
  <si>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</si>
  <si>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</si>
  <si>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</si>
  <si>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</si>
  <si>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</si>
  <si>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</si>
  <si>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</si>
  <si>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</si>
  <si>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</si>
  <si>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</si>
  <si>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</si>
  <si>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</si>
  <si>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</si>
  <si>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</si>
  <si>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</si>
  <si>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</si>
  <si>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</si>
  <si>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</si>
  <si>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</si>
  <si>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</si>
  <si>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</si>
  <si>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</si>
  <si>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</si>
  <si>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</si>
  <si>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</si>
  <si>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</si>
  <si>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</si>
  <si>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</si>
  <si>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</si>
  <si>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</si>
  <si>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</si>
  <si>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</si>
  <si>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</si>
  <si>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</si>
  <si>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</si>
  <si>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</si>
  <si>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</si>
  <si>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</si>
  <si>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</si>
  <si>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</si>
  <si>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</si>
  <si>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</si>
  <si>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</si>
  <si>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</si>
  <si>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</si>
  <si>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</si>
  <si>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</si>
  <si>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</si>
  <si>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</si>
  <si>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</si>
  <si>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</si>
  <si>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</si>
  <si>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</si>
  <si>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</si>
  <si>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</si>
  <si>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</si>
  <si>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</si>
  <si>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</si>
  <si>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</si>
  <si>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</si>
  <si>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</si>
  <si>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</si>
  <si>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</si>
  <si>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</si>
  <si>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</si>
  <si>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</si>
  <si>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</si>
  <si>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</si>
  <si>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</si>
  <si>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</si>
  <si>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</si>
  <si>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</si>
  <si>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</si>
  <si>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</si>
  <si>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</si>
  <si>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</si>
  <si>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</si>
  <si>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</si>
  <si>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</si>
  <si>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</si>
  <si>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</si>
  <si>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</si>
  <si>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</si>
  <si>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</si>
  <si>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</si>
  <si>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</si>
  <si>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</si>
  <si>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</si>
  <si>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</si>
  <si>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</si>
  <si>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</si>
  <si>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</si>
  <si>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</si>
  <si>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</si>
  <si>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</si>
  <si>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</si>
  <si>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</si>
  <si>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</si>
  <si>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</si>
  <si>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</si>
  <si>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</si>
  <si>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</si>
  <si>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</si>
  <si>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</si>
  <si>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</si>
  <si>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</si>
  <si>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</si>
  <si>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</si>
  <si>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</si>
  <si>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</si>
  <si>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</si>
  <si>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</si>
  <si>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</si>
  <si>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</si>
  <si>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</si>
  <si>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</si>
  <si>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</si>
  <si>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</si>
  <si>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</si>
  <si>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</si>
  <si>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</si>
  <si>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</si>
  <si>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</si>
  <si>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</si>
  <si>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</si>
  <si>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</si>
  <si>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</si>
  <si>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</si>
  <si>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</si>
  <si>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</si>
  <si>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</si>
  <si>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</si>
  <si>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</si>
  <si>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</si>
  <si>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</si>
  <si>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</si>
  <si>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</si>
  <si>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</si>
  <si>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</si>
  <si>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</si>
  <si>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</si>
  <si>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</si>
  <si>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</si>
  <si>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</si>
  <si>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</si>
  <si>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</si>
  <si>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</si>
  <si>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</si>
  <si>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</si>
  <si>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</si>
  <si>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</si>
  <si>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</si>
  <si>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</si>
  <si>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</si>
  <si>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</si>
  <si>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</si>
  <si>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</si>
  <si>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</si>
  <si>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</si>
  <si>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</si>
  <si>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</si>
  <si>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</si>
  <si>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</si>
  <si>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</si>
  <si>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</si>
  <si>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</si>
  <si>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</si>
  <si>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</si>
  <si>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</si>
  <si>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</si>
  <si>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</si>
  <si>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</si>
  <si>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</si>
  <si>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</si>
  <si>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</si>
  <si>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</si>
  <si>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</si>
  <si>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</si>
  <si>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</si>
  <si>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</si>
  <si>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</si>
  <si>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</si>
  <si>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</si>
  <si>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</si>
  <si>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</si>
  <si>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</si>
  <si>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</si>
  <si>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</si>
  <si>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</si>
  <si>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</si>
  <si>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</si>
  <si>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</si>
  <si>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</si>
  <si>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</si>
  <si>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</si>
  <si>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</si>
  <si>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</si>
  <si>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</si>
  <si>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</si>
  <si>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</si>
  <si>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</si>
  <si>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</si>
  <si>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</si>
  <si>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</si>
  <si>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</si>
  <si>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</si>
  <si>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</si>
  <si>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</si>
  <si>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</si>
  <si>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</si>
  <si>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</si>
  <si>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</si>
  <si>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</si>
  <si>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</si>
  <si>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</si>
  <si>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</si>
  <si>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</si>
  <si>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</si>
  <si>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</si>
  <si>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</si>
  <si>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</si>
  <si>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</si>
  <si>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</si>
  <si>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</si>
  <si>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</si>
  <si>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</si>
  <si>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</si>
  <si>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</si>
  <si>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</si>
  <si>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</si>
  <si>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</si>
  <si>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</si>
  <si>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</si>
  <si>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</si>
  <si>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</si>
  <si>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</si>
  <si>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</si>
  <si>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</si>
  <si>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</si>
  <si>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</si>
  <si>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</si>
  <si>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</si>
  <si>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</si>
  <si>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</si>
  <si>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</si>
  <si>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</si>
  <si>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</si>
  <si>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</si>
  <si>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</si>
  <si>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</si>
  <si>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</si>
  <si>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</si>
  <si>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</si>
  <si>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</si>
  <si>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</si>
  <si>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</si>
  <si>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</si>
  <si>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</si>
  <si>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</si>
  <si>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</si>
  <si>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</si>
  <si>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</si>
  <si>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</si>
  <si>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</si>
  <si>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</si>
  <si>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</si>
  <si>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</si>
  <si>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</si>
  <si>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</si>
  <si>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</si>
  <si>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</si>
  <si>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</si>
  <si>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</si>
  <si>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</si>
  <si>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</si>
  <si>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</si>
  <si>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</si>
  <si>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</si>
  <si>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</si>
  <si>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</si>
  <si>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</si>
  <si>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</si>
  <si>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</si>
  <si>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</si>
  <si>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</si>
  <si>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</si>
  <si>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</si>
  <si>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</si>
  <si>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</si>
  <si>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</si>
  <si>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</si>
  <si>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</si>
  <si>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</si>
  <si>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</si>
  <si>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</si>
  <si>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</si>
  <si>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</si>
  <si>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</si>
  <si>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</si>
  <si>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</si>
  <si>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</si>
  <si>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</si>
  <si>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</si>
  <si>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</si>
  <si>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</si>
  <si>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</si>
  <si>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</si>
  <si>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</si>
  <si>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</si>
  <si>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</si>
  <si>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</si>
  <si>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</si>
  <si>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</si>
  <si>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</si>
  <si>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</si>
  <si>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</si>
  <si>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</si>
  <si>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</si>
  <si>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</si>
  <si>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</si>
  <si>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</si>
  <si>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</si>
  <si>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</si>
  <si>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</si>
  <si>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</si>
  <si>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</si>
  <si>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</si>
  <si>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</si>
  <si>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</si>
  <si>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</si>
  <si>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</si>
  <si>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</si>
  <si>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</si>
  <si>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</si>
  <si>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</si>
  <si>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</si>
  <si>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</si>
  <si>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</si>
  <si>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</si>
  <si>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</si>
  <si>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</si>
  <si>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</si>
  <si>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</si>
  <si>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</si>
  <si>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</si>
  <si>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</si>
  <si>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</si>
  <si>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</si>
  <si>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</si>
  <si>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</si>
  <si>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</si>
  <si>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</si>
  <si>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</si>
  <si>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</si>
  <si>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</si>
  <si>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</si>
  <si>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</si>
  <si>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</si>
  <si>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</si>
  <si>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</si>
  <si>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</si>
  <si>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</si>
  <si>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</si>
  <si>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</si>
  <si>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</si>
  <si>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</si>
  <si>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</si>
  <si>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</si>
  <si>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</si>
  <si>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</si>
  <si>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</si>
  <si>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</si>
  <si>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</si>
  <si>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</si>
  <si>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</si>
  <si>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</si>
  <si>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</si>
  <si>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</si>
  <si>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</si>
  <si>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</si>
  <si>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</si>
  <si>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</si>
  <si>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</si>
  <si>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</si>
  <si>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</si>
  <si>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</si>
  <si>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</si>
  <si>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</si>
  <si>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</si>
  <si>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</si>
  <si>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</si>
  <si>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</si>
  <si>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</si>
  <si>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</si>
  <si>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</si>
  <si>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</si>
  <si>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</si>
  <si>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</si>
  <si>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</si>
  <si>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</si>
  <si>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</si>
  <si>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</si>
  <si>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</si>
  <si>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</si>
  <si>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</si>
  <si>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</si>
  <si>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</si>
  <si>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</si>
  <si>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</si>
  <si>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</si>
  <si>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</si>
  <si>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</si>
  <si>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</si>
  <si>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</si>
  <si>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</si>
  <si>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</si>
  <si>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</si>
  <si>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</si>
  <si>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</si>
  <si>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</si>
  <si>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</si>
  <si>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</si>
  <si>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</si>
  <si>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</si>
  <si>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</si>
  <si>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</si>
  <si>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</si>
  <si>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</si>
  <si>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</si>
  <si>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</si>
  <si>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</si>
  <si>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</si>
  <si>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</si>
  <si>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</si>
  <si>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</si>
  <si>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</si>
  <si>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</si>
  <si>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</si>
  <si>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</si>
  <si>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</si>
  <si>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</si>
  <si>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</si>
  <si>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</si>
  <si>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</si>
  <si>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</si>
  <si>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</si>
  <si>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</si>
  <si>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</si>
  <si>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</si>
  <si>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</si>
  <si>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</si>
  <si>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</si>
  <si>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</si>
  <si>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</si>
  <si>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</si>
  <si>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</si>
  <si>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</si>
  <si>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</si>
  <si>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</si>
  <si>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</si>
  <si>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</si>
  <si>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</si>
  <si>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</si>
  <si>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</si>
  <si>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</si>
  <si>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</si>
  <si>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</si>
  <si>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</si>
  <si>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</si>
  <si>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</si>
  <si>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</si>
  <si>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</si>
  <si>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</si>
  <si>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</si>
  <si>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</si>
  <si>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</si>
  <si>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</si>
  <si>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</si>
  <si>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</si>
  <si>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</si>
  <si>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</si>
  <si>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</si>
  <si>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</si>
  <si>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</si>
  <si>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</si>
  <si>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</si>
  <si>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</si>
  <si>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</si>
  <si>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</si>
  <si>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</si>
  <si>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</si>
  <si>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</si>
  <si>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</si>
  <si>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</si>
  <si>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</si>
  <si>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</si>
  <si>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</si>
  <si>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</si>
  <si>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</si>
  <si>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</si>
  <si>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</si>
  <si>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</si>
  <si>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</si>
  <si>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</si>
  <si>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</si>
  <si>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</si>
  <si>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</si>
  <si>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</si>
  <si>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</si>
  <si>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</si>
  <si>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</si>
  <si>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</si>
  <si>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</si>
  <si>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</si>
  <si>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</si>
  <si>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</si>
  <si>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</si>
  <si>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</si>
  <si>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</si>
  <si>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</si>
  <si>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</si>
  <si>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</si>
  <si>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</si>
  <si>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</si>
  <si>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</si>
  <si>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</si>
  <si>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</si>
  <si>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</si>
  <si>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</si>
  <si>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</si>
  <si>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</si>
  <si>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</si>
  <si>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</si>
  <si>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</si>
  <si>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</si>
  <si>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</si>
  <si>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</si>
  <si>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</si>
  <si>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</si>
  <si>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</si>
  <si>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</si>
  <si>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</si>
  <si>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</si>
  <si>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</si>
  <si>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</si>
  <si>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</si>
  <si>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</si>
  <si>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</si>
  <si>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</si>
  <si>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</si>
  <si>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</si>
  <si>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</si>
  <si>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</si>
  <si>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</si>
  <si>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</si>
  <si>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</si>
  <si>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</si>
  <si>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</si>
  <si>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</si>
  <si>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</si>
  <si>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</si>
  <si>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</si>
  <si>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</si>
  <si>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</si>
  <si>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</si>
  <si>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</si>
  <si>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</si>
  <si>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</si>
  <si>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</si>
  <si>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</si>
  <si>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</si>
  <si>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</si>
  <si>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</si>
  <si>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</si>
  <si>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</si>
  <si>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</si>
  <si>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</si>
  <si>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</si>
  <si>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</si>
  <si>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</si>
  <si>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</si>
  <si>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</si>
  <si>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</si>
  <si>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</si>
  <si>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</si>
  <si>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</si>
  <si>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</si>
  <si>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</si>
  <si>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</si>
  <si>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</si>
  <si>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</si>
  <si>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</si>
  <si>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</si>
  <si>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</si>
  <si>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</si>
  <si>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</si>
  <si>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</si>
  <si>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</si>
  <si>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</si>
  <si>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</si>
  <si>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</si>
  <si>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</si>
  <si>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</si>
  <si>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</si>
  <si>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</si>
  <si>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</si>
  <si>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</si>
  <si>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</si>
  <si>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</si>
  <si>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</si>
  <si>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</si>
  <si>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</si>
  <si>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</si>
  <si>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</si>
  <si>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</si>
  <si>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</si>
  <si>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</si>
  <si>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</si>
  <si>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</si>
  <si>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</si>
  <si>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</si>
  <si>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</si>
  <si>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</si>
  <si>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</si>
  <si>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</si>
  <si>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</si>
  <si>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</si>
  <si>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</si>
  <si>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</si>
  <si>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</si>
  <si>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</si>
  <si>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</si>
  <si>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</si>
  <si>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</si>
  <si>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</si>
  <si>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</si>
  <si>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</si>
  <si>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</si>
  <si>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</si>
  <si>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</si>
  <si>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</si>
  <si>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</si>
  <si>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</si>
  <si>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</si>
  <si>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</si>
  <si>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</si>
  <si>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</si>
  <si>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</si>
  <si>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</si>
  <si>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</si>
  <si>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</si>
  <si>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</si>
  <si>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</si>
  <si>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</si>
  <si>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</si>
  <si>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</si>
  <si>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</si>
  <si>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</si>
  <si>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</si>
  <si>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</si>
  <si>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</si>
  <si>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</si>
  <si>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</si>
  <si>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</si>
  <si>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</si>
  <si>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</si>
  <si>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</si>
  <si>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</si>
  <si>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</si>
  <si>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</si>
  <si>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</si>
  <si>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</si>
  <si>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</si>
  <si>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</si>
  <si>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</si>
  <si>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</si>
  <si>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</si>
  <si>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</si>
  <si>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</si>
  <si>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</si>
  <si>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</si>
  <si>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</si>
  <si>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</si>
  <si>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</si>
  <si>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</si>
  <si>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</si>
  <si>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</si>
  <si>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</si>
  <si>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</si>
  <si>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</si>
  <si>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</si>
  <si>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</si>
  <si>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</si>
  <si>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</si>
  <si>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</si>
  <si>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</si>
  <si>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</si>
  <si>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</si>
  <si>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</si>
  <si>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</si>
  <si>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</si>
  <si>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</si>
  <si>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</si>
  <si>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</si>
  <si>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</si>
  <si>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</si>
  <si>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</si>
  <si>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</si>
  <si>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</si>
  <si>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</si>
  <si>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</si>
  <si>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</si>
  <si>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</si>
  <si>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</si>
  <si>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</si>
  <si>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</si>
  <si>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</si>
  <si>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</si>
  <si>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</si>
  <si>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</si>
  <si>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</si>
  <si>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</si>
  <si>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Tamworth</t>
  </si>
  <si>
    <t>2003</t>
  </si>
  <si>
    <t>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</si>
</sst>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1" xfId="0" applyNumberForma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  <pageSetUpPr fitToPage="1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535</v>
      </c>
      <c r="C2" s="21">
        <v>525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88709.49-35348.64</f>
        <v>53360.850000000006</v>
      </c>
      <c r="G9" s="4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83040.92-47975.68</f>
        <v>35065.24</v>
      </c>
      <c r="G10" s="18"/>
      <c r="H10" s="18"/>
      <c r="I10" s="18"/>
      <c r="J10" s="67">
        <f>SUM(I440)</f>
        <v>219988.46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4">
        <v>12799.03</v>
      </c>
      <c r="G12" s="18"/>
      <c r="H12" s="4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28958.24+72966.37</f>
        <v>101924.61</v>
      </c>
      <c r="G13" s="18">
        <v>992.71</v>
      </c>
      <c r="H13" s="18">
        <f>38041.48-5353.04</f>
        <v>32688.440000000002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1262.06+50.47+55338</f>
        <v>56650.53</v>
      </c>
      <c r="G14" s="18"/>
      <c r="H14" s="18">
        <v>879.02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259800.25999999998</v>
      </c>
      <c r="G19" s="41">
        <f>SUM(G10:G18)</f>
        <v>992.71</v>
      </c>
      <c r="H19" s="41">
        <f>SUM(H9:H18)</f>
        <v>33567.46</v>
      </c>
      <c r="I19" s="41">
        <f>SUM(I9:I18)</f>
        <v>0</v>
      </c>
      <c r="J19" s="41">
        <f>SUM(J9:J18)</f>
        <v>219988.46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f>26508.09+3317.53-5556.17</f>
        <v>24269.449999999997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92074.73-61789.07</f>
        <v>30285.659999999996</v>
      </c>
      <c r="G24" s="18">
        <v>184.38</v>
      </c>
      <c r="H24" s="18">
        <f>3962.5-3177.49</f>
        <v>785.01000000000022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4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6372.41+217.38+895.34</f>
        <v>7485.13</v>
      </c>
      <c r="G29" s="18">
        <v>346.79</v>
      </c>
      <c r="H29" s="18">
        <f>3681.82+272.83+305.37</f>
        <v>4260.0200000000004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4"/>
      <c r="H30" s="18">
        <v>4252.9799999999996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461.54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37770.789999999994</v>
      </c>
      <c r="G32" s="41">
        <f>SUM(G22:G31)</f>
        <v>992.71</v>
      </c>
      <c r="H32" s="41">
        <f>SUM(H22:H31)</f>
        <v>33567.46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219988.46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135021.29999999999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84747.81+30000-19879.49-7860.15</f>
        <v>87008.17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222029.46999999997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219988.46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259800.25999999995</v>
      </c>
      <c r="G52" s="41">
        <f>G51+G32</f>
        <v>992.71</v>
      </c>
      <c r="H52" s="41">
        <f>H51+H32</f>
        <v>33567.46</v>
      </c>
      <c r="I52" s="41">
        <f>I51+I32</f>
        <v>0</v>
      </c>
      <c r="J52" s="41">
        <f>J51+J32</f>
        <v>219988.46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4510491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4510491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128.11000000000001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18826.23+1443.82</f>
        <v>20270.05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8348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67142.63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75618.740000000005</v>
      </c>
      <c r="G111" s="41">
        <f>SUM(G96:G110)</f>
        <v>20270.05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4586109.74</v>
      </c>
      <c r="G112" s="41">
        <f>G60+G111</f>
        <v>20270.05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751977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762050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1514027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49083.34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23950.21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148.13999999999999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73033.549999999988</v>
      </c>
      <c r="G136" s="41">
        <f>SUM(G123:G135)</f>
        <v>148.13999999999999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1587060.55</v>
      </c>
      <c r="G140" s="41">
        <f>G121+SUM(G136:G137)</f>
        <v>148.13999999999999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143408.17000000001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30243.82+879</f>
        <v>31122.82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56963.44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74298.490000000005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11683.42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74298.490000000005</v>
      </c>
      <c r="G162" s="41">
        <f>SUM(G150:G161)</f>
        <v>68646.86</v>
      </c>
      <c r="H162" s="41">
        <f>SUM(H150:H161)</f>
        <v>174530.99000000002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130.88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74429.37000000001</v>
      </c>
      <c r="G169" s="41">
        <f>G147+G162+SUM(G163:G168)</f>
        <v>68646.86</v>
      </c>
      <c r="H169" s="41">
        <f>H147+H162+SUM(H163:H168)</f>
        <v>174530.99000000002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19879.490000000002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19879.490000000002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19879.490000000002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6247599.6600000001</v>
      </c>
      <c r="G193" s="47">
        <f>G112+G140+G169+G192</f>
        <v>108944.54000000001</v>
      </c>
      <c r="H193" s="47">
        <f>H112+H140+H169+H192</f>
        <v>174530.99000000002</v>
      </c>
      <c r="I193" s="47">
        <f>I112+I140+I169+I192</f>
        <v>0</v>
      </c>
      <c r="J193" s="47">
        <f>J112+J140+J192</f>
        <v>30000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1424943.89</v>
      </c>
      <c r="G197" s="18">
        <v>639396.19999999995</v>
      </c>
      <c r="H197" s="18">
        <f>1136195.5-1128619</f>
        <v>7576.5</v>
      </c>
      <c r="I197" s="18">
        <v>43941.109999999993</v>
      </c>
      <c r="J197" s="18">
        <v>59728.14</v>
      </c>
      <c r="K197" s="18">
        <v>467</v>
      </c>
      <c r="L197" s="19">
        <f>SUM(F197:K197)</f>
        <v>2176052.84</v>
      </c>
      <c r="M197" s="8"/>
      <c r="N197" s="272"/>
    </row>
    <row r="198" spans="1:14" s="3" customFormat="1" ht="12" customHeight="1" x14ac:dyDescent="0.2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453394.07999999996</v>
      </c>
      <c r="G198" s="18">
        <v>272957.71000000002</v>
      </c>
      <c r="H198" s="18">
        <f>224145.72-42111.51</f>
        <v>182034.21</v>
      </c>
      <c r="I198" s="274">
        <v>349.85</v>
      </c>
      <c r="J198" s="18"/>
      <c r="K198" s="18"/>
      <c r="L198" s="19">
        <f>SUM(F198:K198)</f>
        <v>908735.85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3850</v>
      </c>
      <c r="G200" s="18">
        <v>499.86</v>
      </c>
      <c r="H200" s="18">
        <v>8995</v>
      </c>
      <c r="I200" s="18">
        <v>679.5</v>
      </c>
      <c r="J200" s="18"/>
      <c r="K200" s="18"/>
      <c r="L200" s="19">
        <f>SUM(F200:K200)</f>
        <v>14024.36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252038</v>
      </c>
      <c r="G202" s="18">
        <v>113705.75</v>
      </c>
      <c r="H202" s="18">
        <v>6232.5</v>
      </c>
      <c r="I202" s="18">
        <v>1417.0500000000002</v>
      </c>
      <c r="J202" s="18">
        <v>0</v>
      </c>
      <c r="K202" s="18"/>
      <c r="L202" s="19">
        <f t="shared" ref="L202:L208" si="0">SUM(F202:K202)</f>
        <v>373393.3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48661.2</v>
      </c>
      <c r="G203" s="18">
        <v>13716.779999999999</v>
      </c>
      <c r="H203" s="18">
        <v>26256.43</v>
      </c>
      <c r="I203" s="18">
        <v>2664.23</v>
      </c>
      <c r="J203" s="18"/>
      <c r="K203" s="18"/>
      <c r="L203" s="19">
        <f t="shared" si="0"/>
        <v>91298.64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3250</v>
      </c>
      <c r="G204" s="18">
        <v>248.63</v>
      </c>
      <c r="H204" s="18">
        <v>242724.21</v>
      </c>
      <c r="I204" s="18">
        <v>112.13</v>
      </c>
      <c r="J204" s="18"/>
      <c r="K204" s="18">
        <v>3321.39</v>
      </c>
      <c r="L204" s="19">
        <f t="shared" si="0"/>
        <v>249656.36000000002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133819.99</v>
      </c>
      <c r="G205" s="18">
        <v>67569.419999999984</v>
      </c>
      <c r="H205" s="18">
        <v>7203.4</v>
      </c>
      <c r="I205" s="18">
        <v>1864.4</v>
      </c>
      <c r="J205" s="18"/>
      <c r="K205" s="18">
        <v>1332.55</v>
      </c>
      <c r="L205" s="19">
        <f t="shared" si="0"/>
        <v>211789.75999999995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110796.87</v>
      </c>
      <c r="G207" s="18">
        <v>65729.929999999993</v>
      </c>
      <c r="H207" s="18">
        <v>82859.56</v>
      </c>
      <c r="I207" s="18">
        <v>118477.14000000001</v>
      </c>
      <c r="J207" s="18">
        <v>74519.239999999991</v>
      </c>
      <c r="K207" s="18"/>
      <c r="L207" s="19">
        <f t="shared" si="0"/>
        <v>452382.74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190843.30457680247</v>
      </c>
      <c r="I208" s="18"/>
      <c r="J208" s="18"/>
      <c r="K208" s="18"/>
      <c r="L208" s="19">
        <f t="shared" si="0"/>
        <v>190843.30457680247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2430754.0300000003</v>
      </c>
      <c r="G211" s="41">
        <f t="shared" si="1"/>
        <v>1173824.2799999998</v>
      </c>
      <c r="H211" s="41">
        <f t="shared" si="1"/>
        <v>754725.11457680259</v>
      </c>
      <c r="I211" s="41">
        <f t="shared" si="1"/>
        <v>169505.41</v>
      </c>
      <c r="J211" s="41">
        <f t="shared" si="1"/>
        <v>134247.38</v>
      </c>
      <c r="K211" s="41">
        <f t="shared" si="1"/>
        <v>5120.9399999999996</v>
      </c>
      <c r="L211" s="41">
        <f t="shared" si="1"/>
        <v>4668177.1545768017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1128619</v>
      </c>
      <c r="I233" s="18"/>
      <c r="J233" s="18"/>
      <c r="K233" s="18"/>
      <c r="L233" s="19">
        <f>SUM(F233:K233)</f>
        <v>1128619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42111.505172413788</v>
      </c>
      <c r="I234" s="18"/>
      <c r="J234" s="18"/>
      <c r="K234" s="18"/>
      <c r="L234" s="19">
        <f>SUM(F234:K234)</f>
        <v>42111.505172413788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76169.915423197483</v>
      </c>
      <c r="I244" s="18"/>
      <c r="J244" s="18"/>
      <c r="K244" s="18"/>
      <c r="L244" s="19">
        <f t="shared" si="4"/>
        <v>76169.915423197483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1246900.4205956112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1246900.4205956112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2430754.0300000003</v>
      </c>
      <c r="G257" s="41">
        <f t="shared" si="8"/>
        <v>1173824.2799999998</v>
      </c>
      <c r="H257" s="41">
        <f t="shared" si="8"/>
        <v>2001625.5351724138</v>
      </c>
      <c r="I257" s="41">
        <f t="shared" si="8"/>
        <v>169505.41</v>
      </c>
      <c r="J257" s="41">
        <f t="shared" si="8"/>
        <v>134247.38</v>
      </c>
      <c r="K257" s="41">
        <f t="shared" si="8"/>
        <v>5120.9399999999996</v>
      </c>
      <c r="L257" s="41">
        <f t="shared" si="8"/>
        <v>5915077.5751724131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164102.56</v>
      </c>
      <c r="L260" s="19">
        <f>SUM(F260:K260)</f>
        <v>164102.56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65718.83</v>
      </c>
      <c r="L261" s="19">
        <f>SUM(F261:K261)</f>
        <v>65718.83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19879.490000000002</v>
      </c>
      <c r="L263" s="19">
        <f>SUM(F263:K263)</f>
        <v>19879.490000000002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279700.88</v>
      </c>
      <c r="L270" s="41">
        <f t="shared" si="9"/>
        <v>279700.88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2430754.0300000003</v>
      </c>
      <c r="G271" s="42">
        <f t="shared" si="11"/>
        <v>1173824.2799999998</v>
      </c>
      <c r="H271" s="42">
        <f t="shared" si="11"/>
        <v>2001625.5351724138</v>
      </c>
      <c r="I271" s="42">
        <f t="shared" si="11"/>
        <v>169505.41</v>
      </c>
      <c r="J271" s="42">
        <f t="shared" si="11"/>
        <v>134247.38</v>
      </c>
      <c r="K271" s="42">
        <f t="shared" si="11"/>
        <v>284821.82</v>
      </c>
      <c r="L271" s="42">
        <f t="shared" si="11"/>
        <v>6194778.455172413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86990.32</v>
      </c>
      <c r="G276" s="18">
        <v>23990.99</v>
      </c>
      <c r="H276" s="18">
        <v>6252.52</v>
      </c>
      <c r="I276" s="18">
        <v>16165.16</v>
      </c>
      <c r="J276" s="18">
        <f>5583.13+500+644</f>
        <v>6727.13</v>
      </c>
      <c r="K276" s="18"/>
      <c r="L276" s="19">
        <f>SUM(F276:K276)</f>
        <v>140126.12000000002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450</v>
      </c>
      <c r="I277" s="18">
        <v>271.49</v>
      </c>
      <c r="J277" s="18"/>
      <c r="K277" s="18"/>
      <c r="L277" s="19">
        <f>SUM(F277:K277)</f>
        <v>721.49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1453.76</v>
      </c>
      <c r="J281" s="18"/>
      <c r="K281" s="18"/>
      <c r="L281" s="19">
        <f t="shared" ref="L281:L287" si="12">SUM(F281:K281)</f>
        <v>1453.76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1440</v>
      </c>
      <c r="G282" s="18">
        <v>295.08000000000004</v>
      </c>
      <c r="H282" s="18">
        <f>24677.37+2024.3</f>
        <v>26701.67</v>
      </c>
      <c r="I282" s="18"/>
      <c r="J282" s="18"/>
      <c r="K282" s="18"/>
      <c r="L282" s="19">
        <f t="shared" si="12"/>
        <v>28436.75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84.6</v>
      </c>
      <c r="L283" s="19">
        <f t="shared" si="12"/>
        <v>84.6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3708.2699999999995</v>
      </c>
      <c r="L285" s="19">
        <f t="shared" si="12"/>
        <v>3708.2699999999995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88430.32</v>
      </c>
      <c r="G290" s="42">
        <f t="shared" si="13"/>
        <v>24286.070000000003</v>
      </c>
      <c r="H290" s="42">
        <f t="shared" si="13"/>
        <v>33404.19</v>
      </c>
      <c r="I290" s="42">
        <f t="shared" si="13"/>
        <v>17890.41</v>
      </c>
      <c r="J290" s="42">
        <f t="shared" si="13"/>
        <v>6727.13</v>
      </c>
      <c r="K290" s="42">
        <f t="shared" si="13"/>
        <v>3792.8699999999994</v>
      </c>
      <c r="L290" s="41">
        <f t="shared" si="13"/>
        <v>174530.99000000002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88430.32</v>
      </c>
      <c r="G338" s="41">
        <f t="shared" si="20"/>
        <v>24286.070000000003</v>
      </c>
      <c r="H338" s="41">
        <f t="shared" si="20"/>
        <v>33404.19</v>
      </c>
      <c r="I338" s="41">
        <f t="shared" si="20"/>
        <v>17890.41</v>
      </c>
      <c r="J338" s="41">
        <f t="shared" si="20"/>
        <v>6727.13</v>
      </c>
      <c r="K338" s="41">
        <f t="shared" si="20"/>
        <v>3792.8699999999994</v>
      </c>
      <c r="L338" s="41">
        <f t="shared" si="20"/>
        <v>174530.99000000002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88430.32</v>
      </c>
      <c r="G352" s="41">
        <f>G338</f>
        <v>24286.070000000003</v>
      </c>
      <c r="H352" s="41">
        <f>H338</f>
        <v>33404.19</v>
      </c>
      <c r="I352" s="41">
        <f>I338</f>
        <v>17890.41</v>
      </c>
      <c r="J352" s="41">
        <f>J338</f>
        <v>6727.13</v>
      </c>
      <c r="K352" s="47">
        <f>K338+K351</f>
        <v>3792.8699999999994</v>
      </c>
      <c r="L352" s="41">
        <f>L338+L351</f>
        <v>174530.99000000002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38040.21</v>
      </c>
      <c r="G358" s="18">
        <v>3597.26</v>
      </c>
      <c r="H358" s="18">
        <v>21327.710000000003</v>
      </c>
      <c r="I358" s="18">
        <v>45979.360000000001</v>
      </c>
      <c r="J358" s="18">
        <v>0</v>
      </c>
      <c r="K358" s="18"/>
      <c r="L358" s="13">
        <f>SUM(F358:K358)</f>
        <v>108944.54000000001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38040.21</v>
      </c>
      <c r="G362" s="47">
        <f t="shared" si="22"/>
        <v>3597.26</v>
      </c>
      <c r="H362" s="47">
        <f t="shared" si="22"/>
        <v>21327.710000000003</v>
      </c>
      <c r="I362" s="47">
        <f t="shared" si="22"/>
        <v>45979.360000000001</v>
      </c>
      <c r="J362" s="47">
        <f t="shared" si="22"/>
        <v>0</v>
      </c>
      <c r="K362" s="47">
        <f t="shared" si="22"/>
        <v>0</v>
      </c>
      <c r="L362" s="47">
        <f t="shared" si="22"/>
        <v>108944.54000000001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45979.35-2778.94+0.01</f>
        <v>43200.42</v>
      </c>
      <c r="G367" s="18"/>
      <c r="H367" s="18"/>
      <c r="I367" s="56">
        <f>SUM(F367:H367)</f>
        <v>43200.42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2778.94</v>
      </c>
      <c r="G368" s="63"/>
      <c r="H368" s="63"/>
      <c r="I368" s="56">
        <f>SUM(F368:H368)</f>
        <v>2778.94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45979.360000000001</v>
      </c>
      <c r="G369" s="47">
        <f>SUM(G367:G368)</f>
        <v>0</v>
      </c>
      <c r="H369" s="47">
        <f>SUM(H367:H368)</f>
        <v>0</v>
      </c>
      <c r="I369" s="47">
        <f>SUM(I367:I368)</f>
        <v>45979.360000000001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30000</v>
      </c>
      <c r="H397" s="18"/>
      <c r="I397" s="18"/>
      <c r="J397" s="24" t="s">
        <v>289</v>
      </c>
      <c r="K397" s="24" t="s">
        <v>289</v>
      </c>
      <c r="L397" s="56">
        <f t="shared" si="26"/>
        <v>30000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219988.46</v>
      </c>
      <c r="H440" s="18"/>
      <c r="I440" s="56">
        <f t="shared" si="33"/>
        <v>219988.46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219988.46</v>
      </c>
      <c r="H446" s="13">
        <f>SUM(H439:H445)</f>
        <v>0</v>
      </c>
      <c r="I446" s="13">
        <f>SUM(I439:I445)</f>
        <v>219988.46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219988.46</v>
      </c>
      <c r="H459" s="18"/>
      <c r="I459" s="56">
        <f t="shared" si="34"/>
        <v>219988.46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219988.46</v>
      </c>
      <c r="H460" s="83">
        <f>SUM(H454:H459)</f>
        <v>0</v>
      </c>
      <c r="I460" s="83">
        <f>SUM(I454:I459)</f>
        <v>219988.46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219988.46</v>
      </c>
      <c r="H461" s="42">
        <f>H452+H460</f>
        <v>0</v>
      </c>
      <c r="I461" s="42">
        <f>I452+I460</f>
        <v>219988.46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177068.42</v>
      </c>
      <c r="G465" s="18"/>
      <c r="H465" s="18"/>
      <c r="I465" s="18"/>
      <c r="J465" s="18">
        <f>219988.46-30000</f>
        <v>189988.46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6247599.6600000001</v>
      </c>
      <c r="G468" s="18">
        <f>89065.05+19879.49</f>
        <v>108944.54000000001</v>
      </c>
      <c r="H468" s="18">
        <f>173651.99+879</f>
        <v>174530.99</v>
      </c>
      <c r="I468" s="18"/>
      <c r="J468" s="175">
        <v>30000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6247599.6600000001</v>
      </c>
      <c r="G470" s="53">
        <f>SUM(G468:G469)</f>
        <v>108944.54000000001</v>
      </c>
      <c r="H470" s="53">
        <f>SUM(H468:H469)</f>
        <v>174530.99</v>
      </c>
      <c r="I470" s="53">
        <f>SUM(I468:I469)</f>
        <v>0</v>
      </c>
      <c r="J470" s="53">
        <f>SUM(J468:J469)</f>
        <v>30000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6174898.97+19879.49</f>
        <v>6194778.46</v>
      </c>
      <c r="G472" s="18">
        <f>108944.54</f>
        <v>108944.54</v>
      </c>
      <c r="H472" s="18">
        <f>171278.09+84.6+500+644+2024.3</f>
        <v>174530.99</v>
      </c>
      <c r="I472" s="18"/>
      <c r="J472" s="175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7860.15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6202638.6100000003</v>
      </c>
      <c r="G474" s="53">
        <f>SUM(G472:G473)</f>
        <v>108944.54</v>
      </c>
      <c r="H474" s="53">
        <f>SUM(H472:H473)</f>
        <v>174530.99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222029.46999999974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219988.46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4.87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1394867</v>
      </c>
      <c r="G495" s="18"/>
      <c r="H495" s="18"/>
      <c r="I495" s="18"/>
      <c r="J495" s="18"/>
      <c r="K495" s="53">
        <f>SUM(F495:J495)</f>
        <v>1394867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164103</v>
      </c>
      <c r="G497" s="18"/>
      <c r="H497" s="18"/>
      <c r="I497" s="18"/>
      <c r="J497" s="18"/>
      <c r="K497" s="53">
        <f t="shared" si="35"/>
        <v>164103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1230769</v>
      </c>
      <c r="G498" s="204"/>
      <c r="H498" s="204"/>
      <c r="I498" s="204"/>
      <c r="J498" s="204"/>
      <c r="K498" s="205">
        <f t="shared" si="35"/>
        <v>1230769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305684-(29969)</f>
        <v>275715</v>
      </c>
      <c r="G499" s="18"/>
      <c r="H499" s="18"/>
      <c r="I499" s="18"/>
      <c r="J499" s="18"/>
      <c r="K499" s="53">
        <f t="shared" si="35"/>
        <v>275715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1506484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1506484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164103</v>
      </c>
      <c r="G501" s="204"/>
      <c r="H501" s="204"/>
      <c r="I501" s="204"/>
      <c r="J501" s="204"/>
      <c r="K501" s="205">
        <f t="shared" si="35"/>
        <v>164103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29969.23+27971.28</f>
        <v>57940.509999999995</v>
      </c>
      <c r="G502" s="18"/>
      <c r="H502" s="18"/>
      <c r="I502" s="18"/>
      <c r="J502" s="18"/>
      <c r="K502" s="53">
        <f t="shared" si="35"/>
        <v>57940.509999999995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222043.51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222043.51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47633.89</v>
      </c>
      <c r="G507" s="144">
        <v>1523</v>
      </c>
      <c r="H507" s="144">
        <v>-1230</v>
      </c>
      <c r="I507" s="144">
        <v>49156.89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453394.07999999996</v>
      </c>
      <c r="G521" s="18">
        <v>272957.71000000002</v>
      </c>
      <c r="H521" s="18">
        <v>182034.21</v>
      </c>
      <c r="I521" s="18">
        <v>349.85</v>
      </c>
      <c r="J521" s="18"/>
      <c r="K521" s="18"/>
      <c r="L521" s="88">
        <f>SUM(F521:K521)</f>
        <v>908735.85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147621.65-105510.1</f>
        <v>42111.549999999988</v>
      </c>
      <c r="I523" s="18"/>
      <c r="J523" s="18"/>
      <c r="K523" s="18"/>
      <c r="L523" s="88">
        <f>SUM(F523:K523)</f>
        <v>42111.549999999988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453394.07999999996</v>
      </c>
      <c r="G524" s="108">
        <f t="shared" ref="G524:L524" si="36">SUM(G521:G523)</f>
        <v>272957.71000000002</v>
      </c>
      <c r="H524" s="108">
        <f t="shared" si="36"/>
        <v>224145.75999999998</v>
      </c>
      <c r="I524" s="108">
        <f t="shared" si="36"/>
        <v>349.85</v>
      </c>
      <c r="J524" s="108">
        <f t="shared" si="36"/>
        <v>0</v>
      </c>
      <c r="K524" s="108">
        <f t="shared" si="36"/>
        <v>0</v>
      </c>
      <c r="L524" s="89">
        <f t="shared" si="36"/>
        <v>950847.39999999991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133819.99</v>
      </c>
      <c r="G526" s="18">
        <v>67569.419999999984</v>
      </c>
      <c r="H526" s="18">
        <v>7203.4</v>
      </c>
      <c r="I526" s="18">
        <v>1864.4</v>
      </c>
      <c r="J526" s="18"/>
      <c r="K526" s="18">
        <v>1332.55</v>
      </c>
      <c r="L526" s="88">
        <f>SUM(F526:K526)</f>
        <v>211789.75999999995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133819.99</v>
      </c>
      <c r="G529" s="89">
        <f t="shared" ref="G529:L529" si="37">SUM(G526:G528)</f>
        <v>67569.419999999984</v>
      </c>
      <c r="H529" s="89">
        <f t="shared" si="37"/>
        <v>7203.4</v>
      </c>
      <c r="I529" s="89">
        <f t="shared" si="37"/>
        <v>1864.4</v>
      </c>
      <c r="J529" s="89">
        <f t="shared" si="37"/>
        <v>0</v>
      </c>
      <c r="K529" s="89">
        <f t="shared" si="37"/>
        <v>1332.55</v>
      </c>
      <c r="L529" s="89">
        <f t="shared" si="37"/>
        <v>211789.75999999995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33200.454021279998</v>
      </c>
      <c r="G531" s="18">
        <v>16412.64892344</v>
      </c>
      <c r="H531" s="18">
        <v>2710.6660000000002</v>
      </c>
      <c r="I531" s="18">
        <v>193.619</v>
      </c>
      <c r="J531" s="18">
        <v>387.238</v>
      </c>
      <c r="K531" s="18">
        <v>495.66464000000002</v>
      </c>
      <c r="L531" s="88">
        <f>SUM(F531:K531)</f>
        <v>53400.290584719995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33200.454021279998</v>
      </c>
      <c r="G534" s="89">
        <f t="shared" ref="G534:L534" si="38">SUM(G531:G533)</f>
        <v>16412.64892344</v>
      </c>
      <c r="H534" s="89">
        <f t="shared" si="38"/>
        <v>2710.6660000000002</v>
      </c>
      <c r="I534" s="89">
        <f t="shared" si="38"/>
        <v>193.619</v>
      </c>
      <c r="J534" s="89">
        <f t="shared" si="38"/>
        <v>387.238</v>
      </c>
      <c r="K534" s="89">
        <f t="shared" si="38"/>
        <v>495.66464000000002</v>
      </c>
      <c r="L534" s="89">
        <f t="shared" si="38"/>
        <v>53400.290584719995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34017.35</v>
      </c>
      <c r="I541" s="18"/>
      <c r="J541" s="18"/>
      <c r="K541" s="18"/>
      <c r="L541" s="88">
        <f>SUM(F541:K541)</f>
        <v>34017.35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13577.09</v>
      </c>
      <c r="I543" s="18"/>
      <c r="J543" s="18"/>
      <c r="K543" s="18"/>
      <c r="L543" s="88">
        <f>SUM(F543:K543)</f>
        <v>13577.09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47594.44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47594.44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620414.52402128</v>
      </c>
      <c r="G545" s="89">
        <f t="shared" ref="G545:L545" si="41">G524+G529+G534+G539+G544</f>
        <v>356939.77892344003</v>
      </c>
      <c r="H545" s="89">
        <f t="shared" si="41"/>
        <v>281654.26599999995</v>
      </c>
      <c r="I545" s="89">
        <f t="shared" si="41"/>
        <v>2407.8690000000001</v>
      </c>
      <c r="J545" s="89">
        <f t="shared" si="41"/>
        <v>387.238</v>
      </c>
      <c r="K545" s="89">
        <f t="shared" si="41"/>
        <v>1828.2146399999999</v>
      </c>
      <c r="L545" s="89">
        <f t="shared" si="41"/>
        <v>1263631.8905847198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908735.85</v>
      </c>
      <c r="G549" s="87">
        <f>L526</f>
        <v>211789.75999999995</v>
      </c>
      <c r="H549" s="87">
        <f>L531</f>
        <v>53400.290584719995</v>
      </c>
      <c r="I549" s="87">
        <f>L536</f>
        <v>0</v>
      </c>
      <c r="J549" s="87">
        <f>L541</f>
        <v>34017.35</v>
      </c>
      <c r="K549" s="87">
        <f>SUM(F549:J549)</f>
        <v>1207943.2505847199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42111.549999999988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13577.09</v>
      </c>
      <c r="K551" s="87">
        <f>SUM(F551:J551)</f>
        <v>55688.639999999985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950847.39999999991</v>
      </c>
      <c r="G552" s="89">
        <f t="shared" si="42"/>
        <v>211789.75999999995</v>
      </c>
      <c r="H552" s="89">
        <f t="shared" si="42"/>
        <v>53400.290584719995</v>
      </c>
      <c r="I552" s="89">
        <f t="shared" si="42"/>
        <v>0</v>
      </c>
      <c r="J552" s="89">
        <f t="shared" si="42"/>
        <v>47594.44</v>
      </c>
      <c r="K552" s="89">
        <f t="shared" si="42"/>
        <v>1263631.8905847198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1128619</v>
      </c>
      <c r="I575" s="87">
        <f>SUM(F575:H575)</f>
        <v>1128619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105510.14482758619</v>
      </c>
      <c r="G579" s="18"/>
      <c r="H579" s="18">
        <v>42111.505172413788</v>
      </c>
      <c r="I579" s="87">
        <f t="shared" si="47"/>
        <v>147621.64999999997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205185.96-62592.83</f>
        <v>142593.13</v>
      </c>
      <c r="I591" s="18"/>
      <c r="J591" s="18">
        <f>76169.9154231975-13577.09</f>
        <v>62592.825423197501</v>
      </c>
      <c r="K591" s="104">
        <f t="shared" ref="K591:K597" si="48">SUM(H591:J591)</f>
        <v>205185.95542319751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34017.35</v>
      </c>
      <c r="I592" s="18"/>
      <c r="J592" s="18">
        <v>13577.09</v>
      </c>
      <c r="K592" s="104">
        <f t="shared" si="48"/>
        <v>47594.44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9343.93</v>
      </c>
      <c r="I594" s="18"/>
      <c r="J594" s="18"/>
      <c r="K594" s="104">
        <f t="shared" si="48"/>
        <v>9343.93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4888.8900000000003</v>
      </c>
      <c r="I595" s="18"/>
      <c r="J595" s="18"/>
      <c r="K595" s="104">
        <f t="shared" si="48"/>
        <v>4888.8900000000003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190843.30000000002</v>
      </c>
      <c r="I598" s="108">
        <f>SUM(I591:I597)</f>
        <v>0</v>
      </c>
      <c r="J598" s="108">
        <f>SUM(J591:J597)</f>
        <v>76169.915423197497</v>
      </c>
      <c r="K598" s="108">
        <f>SUM(K591:K597)</f>
        <v>267013.21542319749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140974.50999999995</v>
      </c>
      <c r="I604" s="18"/>
      <c r="J604" s="18"/>
      <c r="K604" s="104">
        <f>SUM(H604:J604)</f>
        <v>140974.50999999995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140974.50999999995</v>
      </c>
      <c r="I605" s="108">
        <f>SUM(I602:I604)</f>
        <v>0</v>
      </c>
      <c r="J605" s="108">
        <f>SUM(J602:J604)</f>
        <v>0</v>
      </c>
      <c r="K605" s="108">
        <f>SUM(K602:K604)</f>
        <v>140974.50999999995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259800.25999999998</v>
      </c>
      <c r="H617" s="109">
        <f>SUM(F52)</f>
        <v>259800.25999999995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992.71</v>
      </c>
      <c r="H618" s="109">
        <f>SUM(G52)</f>
        <v>992.71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33567.46</v>
      </c>
      <c r="H619" s="109">
        <f>SUM(H52)</f>
        <v>33567.46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219988.46</v>
      </c>
      <c r="H621" s="109">
        <f>SUM(J52)</f>
        <v>219988.46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222029.46999999997</v>
      </c>
      <c r="H622" s="109">
        <f>F476</f>
        <v>222029.46999999974</v>
      </c>
      <c r="I622" s="121" t="s">
        <v>101</v>
      </c>
      <c r="J622" s="109">
        <f t="shared" ref="J622:J655" si="50">G622-H622</f>
        <v>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219988.46</v>
      </c>
      <c r="H626" s="109">
        <f>J476</f>
        <v>219988.46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6247599.6600000001</v>
      </c>
      <c r="H627" s="104">
        <f>SUM(F468)</f>
        <v>6247599.6600000001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108944.54000000001</v>
      </c>
      <c r="H628" s="104">
        <f>SUM(G468)</f>
        <v>108944.54000000001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174530.99000000002</v>
      </c>
      <c r="H629" s="104">
        <f>SUM(H468)</f>
        <v>174530.99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30000</v>
      </c>
      <c r="H631" s="104">
        <f>SUM(J468)</f>
        <v>30000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6194778.455172413</v>
      </c>
      <c r="H632" s="104">
        <f>SUM(F472)</f>
        <v>6194778.46</v>
      </c>
      <c r="I632" s="140" t="s">
        <v>111</v>
      </c>
      <c r="J632" s="109">
        <f t="shared" si="50"/>
        <v>-4.8275869339704514E-3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174530.99000000002</v>
      </c>
      <c r="H633" s="104">
        <f>SUM(H472)</f>
        <v>174530.99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45979.360000000001</v>
      </c>
      <c r="H634" s="104">
        <f>I369</f>
        <v>45979.360000000001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108944.54000000001</v>
      </c>
      <c r="H635" s="104">
        <f>SUM(G472)</f>
        <v>108944.54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30000</v>
      </c>
      <c r="H637" s="164">
        <f>SUM(J468)</f>
        <v>30000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SUM(I472)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219988.46</v>
      </c>
      <c r="H640" s="104">
        <f>SUM(G461)</f>
        <v>219988.46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219988.46</v>
      </c>
      <c r="H642" s="104">
        <f>SUM(I461)</f>
        <v>219988.46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30000</v>
      </c>
      <c r="H646" s="104">
        <f>L408</f>
        <v>30000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267013.21542319749</v>
      </c>
      <c r="H647" s="104">
        <f>L208+L226+L244</f>
        <v>267013.21999999997</v>
      </c>
      <c r="I647" s="140" t="s">
        <v>397</v>
      </c>
      <c r="J647" s="109">
        <f t="shared" si="50"/>
        <v>-4.5768024865537882E-3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140974.50999999995</v>
      </c>
      <c r="H648" s="104">
        <f>(J257+J338)-(J255+J336)</f>
        <v>140974.51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190843.30457680247</v>
      </c>
      <c r="H649" s="104">
        <f>H598</f>
        <v>190843.30000000002</v>
      </c>
      <c r="I649" s="140" t="s">
        <v>389</v>
      </c>
      <c r="J649" s="109">
        <f t="shared" si="50"/>
        <v>4.5768024574499577E-3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76169.915423197483</v>
      </c>
      <c r="H651" s="104">
        <f>J598</f>
        <v>76169.915423197497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19879.490000000002</v>
      </c>
      <c r="H652" s="104">
        <f>K263+K345</f>
        <v>19879.490000000002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-4.8275850713253021E-3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4951652.684576802</v>
      </c>
      <c r="G660" s="19">
        <f>(L229+L309+L359)</f>
        <v>0</v>
      </c>
      <c r="H660" s="19">
        <f>(L247+L328+L360)</f>
        <v>1246900.4205956112</v>
      </c>
      <c r="I660" s="19">
        <f>SUM(F660:H660)</f>
        <v>6198553.1051724134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20270.05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20270.05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190843.30457680247</v>
      </c>
      <c r="G662" s="19">
        <f>(L226+L306)-(J226+J306)</f>
        <v>0</v>
      </c>
      <c r="H662" s="19">
        <f>(L244+L325)-(J244+J325)</f>
        <v>76169.915423197483</v>
      </c>
      <c r="I662" s="19">
        <f>SUM(F662:H662)</f>
        <v>267013.21999999997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246484.65482758614</v>
      </c>
      <c r="G663" s="199">
        <f>SUM(G575:G587)+SUM(I602:I604)+L612</f>
        <v>0</v>
      </c>
      <c r="H663" s="199">
        <f>SUM(H575:H587)+SUM(J602:J604)+L613</f>
        <v>1170730.5051724138</v>
      </c>
      <c r="I663" s="19">
        <f>SUM(F663:H663)</f>
        <v>1417215.16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4494054.6751724137</v>
      </c>
      <c r="G664" s="19">
        <f>G660-SUM(G661:G663)</f>
        <v>0</v>
      </c>
      <c r="H664" s="19">
        <f>H660-SUM(H661:H663)</f>
        <v>0</v>
      </c>
      <c r="I664" s="19">
        <f>I660-SUM(I661:I663)</f>
        <v>4494054.6751724137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229.76</v>
      </c>
      <c r="G665" s="248"/>
      <c r="H665" s="248"/>
      <c r="I665" s="19">
        <f>SUM(F665:H665)</f>
        <v>229.76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19559.78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19559.78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19559.78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19559.78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0" fitToHeight="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46" sqref="E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Tamworth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1511934.21</v>
      </c>
      <c r="C9" s="229">
        <f>'DOE25'!G197+'DOE25'!G215+'DOE25'!G233+'DOE25'!G276+'DOE25'!G295+'DOE25'!G314</f>
        <v>663387.18999999994</v>
      </c>
    </row>
    <row r="10" spans="1:3" x14ac:dyDescent="0.2">
      <c r="A10" t="s">
        <v>779</v>
      </c>
      <c r="B10" s="240">
        <f>1418232.64+86990.32</f>
        <v>1505222.96</v>
      </c>
      <c r="C10" s="240">
        <f>632892.01+23990.99</f>
        <v>656883</v>
      </c>
    </row>
    <row r="11" spans="1:3" x14ac:dyDescent="0.2">
      <c r="A11" t="s">
        <v>780</v>
      </c>
      <c r="B11" s="240">
        <v>6711.25</v>
      </c>
      <c r="C11" s="240">
        <f>6425.05+79.14</f>
        <v>6504.1900000000005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1511934.21</v>
      </c>
      <c r="C13" s="231">
        <f>SUM(C10:C12)</f>
        <v>663387.18999999994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453394.07999999996</v>
      </c>
      <c r="C18" s="229">
        <f>'DOE25'!G198+'DOE25'!G216+'DOE25'!G234+'DOE25'!G277+'DOE25'!G296+'DOE25'!G315</f>
        <v>272957.71000000002</v>
      </c>
    </row>
    <row r="19" spans="1:3" x14ac:dyDescent="0.2">
      <c r="A19" t="s">
        <v>779</v>
      </c>
      <c r="B19" s="240">
        <v>228711</v>
      </c>
      <c r="C19" s="240">
        <v>98543.25999999998</v>
      </c>
    </row>
    <row r="20" spans="1:3" x14ac:dyDescent="0.2">
      <c r="A20" t="s">
        <v>780</v>
      </c>
      <c r="B20" s="240">
        <v>224683.08</v>
      </c>
      <c r="C20" s="240">
        <v>174414.44999999998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453394.07999999996</v>
      </c>
      <c r="C22" s="231">
        <f>SUM(C19:C21)</f>
        <v>272957.70999999996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3850</v>
      </c>
      <c r="C36" s="235">
        <f>'DOE25'!G200+'DOE25'!G218+'DOE25'!G236+'DOE25'!G279+'DOE25'!G298+'DOE25'!G317</f>
        <v>499.86</v>
      </c>
    </row>
    <row r="37" spans="1:3" x14ac:dyDescent="0.2">
      <c r="A37" t="s">
        <v>779</v>
      </c>
      <c r="B37" s="240">
        <v>3850</v>
      </c>
      <c r="C37" s="240">
        <v>499.86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3850</v>
      </c>
      <c r="C40" s="231">
        <f>SUM(C37:C39)</f>
        <v>499.86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Tamworth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4269543.5551724136</v>
      </c>
      <c r="D5" s="20">
        <f>SUM('DOE25'!L197:L200)+SUM('DOE25'!L215:L218)+SUM('DOE25'!L233:L236)-F5-G5</f>
        <v>4209348.4151724139</v>
      </c>
      <c r="E5" s="243"/>
      <c r="F5" s="255">
        <f>SUM('DOE25'!J197:J200)+SUM('DOE25'!J215:J218)+SUM('DOE25'!J233:J236)</f>
        <v>59728.14</v>
      </c>
      <c r="G5" s="53">
        <f>SUM('DOE25'!K197:K200)+SUM('DOE25'!K215:K218)+SUM('DOE25'!K233:K236)</f>
        <v>467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373393.3</v>
      </c>
      <c r="D6" s="20">
        <f>'DOE25'!L202+'DOE25'!L220+'DOE25'!L238-F6-G6</f>
        <v>373393.3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91298.64</v>
      </c>
      <c r="D7" s="20">
        <f>'DOE25'!L203+'DOE25'!L221+'DOE25'!L239-F7-G7</f>
        <v>91298.64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167260.87000000002</v>
      </c>
      <c r="D8" s="243"/>
      <c r="E8" s="20">
        <f>'DOE25'!L204+'DOE25'!L222+'DOE25'!L240-F8-G8-D9-D11</f>
        <v>163939.48000000001</v>
      </c>
      <c r="F8" s="255">
        <f>'DOE25'!J204+'DOE25'!J222+'DOE25'!J240</f>
        <v>0</v>
      </c>
      <c r="G8" s="53">
        <f>'DOE25'!K204+'DOE25'!K222+'DOE25'!K240</f>
        <v>3321.39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19392.400000000001</v>
      </c>
      <c r="D9" s="244">
        <v>19392.400000000001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3600</v>
      </c>
      <c r="D10" s="243"/>
      <c r="E10" s="244">
        <v>3600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63003.09</v>
      </c>
      <c r="D11" s="244">
        <f>226664-163660.91</f>
        <v>63003.09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211789.75999999995</v>
      </c>
      <c r="D12" s="20">
        <f>'DOE25'!L205+'DOE25'!L223+'DOE25'!L241-F12-G12</f>
        <v>210457.20999999996</v>
      </c>
      <c r="E12" s="243"/>
      <c r="F12" s="255">
        <f>'DOE25'!J205+'DOE25'!J223+'DOE25'!J241</f>
        <v>0</v>
      </c>
      <c r="G12" s="53">
        <f>'DOE25'!K205+'DOE25'!K223+'DOE25'!K241</f>
        <v>1332.55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452382.74</v>
      </c>
      <c r="D14" s="20">
        <f>'DOE25'!L207+'DOE25'!L225+'DOE25'!L243-F14-G14</f>
        <v>377863.5</v>
      </c>
      <c r="E14" s="243"/>
      <c r="F14" s="255">
        <f>'DOE25'!J207+'DOE25'!J225+'DOE25'!J243</f>
        <v>74519.239999999991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267013.21999999997</v>
      </c>
      <c r="D15" s="20">
        <f>'DOE25'!L208+'DOE25'!L226+'DOE25'!L244-F15-G15</f>
        <v>267013.21999999997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229821.39</v>
      </c>
      <c r="D25" s="243"/>
      <c r="E25" s="243"/>
      <c r="F25" s="258"/>
      <c r="G25" s="256"/>
      <c r="H25" s="257">
        <f>'DOE25'!L260+'DOE25'!L261+'DOE25'!L341+'DOE25'!L342</f>
        <v>229821.39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65744.12000000001</v>
      </c>
      <c r="D29" s="20">
        <f>'DOE25'!L358+'DOE25'!L359+'DOE25'!L360-'DOE25'!I367-F29-G29</f>
        <v>65744.12000000001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174530.99000000002</v>
      </c>
      <c r="D31" s="20">
        <f>'DOE25'!L290+'DOE25'!L309+'DOE25'!L328+'DOE25'!L333+'DOE25'!L334+'DOE25'!L335-F31-G31</f>
        <v>164010.99000000002</v>
      </c>
      <c r="E31" s="243"/>
      <c r="F31" s="255">
        <f>'DOE25'!J290+'DOE25'!J309+'DOE25'!J328+'DOE25'!J333+'DOE25'!J334+'DOE25'!J335</f>
        <v>6727.13</v>
      </c>
      <c r="G31" s="53">
        <f>'DOE25'!K290+'DOE25'!K309+'DOE25'!K328+'DOE25'!K333+'DOE25'!K334+'DOE25'!K335</f>
        <v>3792.8699999999994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5841524.8851724137</v>
      </c>
      <c r="E33" s="246">
        <f>SUM(E5:E31)</f>
        <v>167539.48000000001</v>
      </c>
      <c r="F33" s="246">
        <f>SUM(F5:F31)</f>
        <v>140974.51</v>
      </c>
      <c r="G33" s="246">
        <f>SUM(G5:G31)</f>
        <v>8913.81</v>
      </c>
      <c r="H33" s="246">
        <f>SUM(H5:H31)</f>
        <v>229821.39</v>
      </c>
    </row>
    <row r="35" spans="2:8" ht="12" thickBot="1" x14ac:dyDescent="0.25">
      <c r="B35" s="253" t="s">
        <v>847</v>
      </c>
      <c r="D35" s="254">
        <f>E33</f>
        <v>167539.48000000001</v>
      </c>
      <c r="E35" s="249"/>
    </row>
    <row r="36" spans="2:8" ht="12" thickTop="1" x14ac:dyDescent="0.2">
      <c r="B36" t="s">
        <v>815</v>
      </c>
      <c r="D36" s="20">
        <f>D33</f>
        <v>5841524.8851724137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3" sqref="C13:G1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53360.850000000006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35065.24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219988.46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12799.03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101924.61</v>
      </c>
      <c r="D12" s="95">
        <f>'DOE25'!G13</f>
        <v>992.71</v>
      </c>
      <c r="E12" s="95">
        <f>'DOE25'!H13</f>
        <v>32688.440000000002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56650.53</v>
      </c>
      <c r="D13" s="95">
        <f>'DOE25'!G14</f>
        <v>0</v>
      </c>
      <c r="E13" s="95">
        <f>'DOE25'!H14</f>
        <v>879.02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259800.25999999998</v>
      </c>
      <c r="D18" s="41">
        <f>SUM(D8:D17)</f>
        <v>992.71</v>
      </c>
      <c r="E18" s="41">
        <f>SUM(E8:E17)</f>
        <v>33567.46</v>
      </c>
      <c r="F18" s="41">
        <f>SUM(F8:F17)</f>
        <v>0</v>
      </c>
      <c r="G18" s="41">
        <f>SUM(G8:G17)</f>
        <v>219988.46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24269.449999999997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30285.659999999996</v>
      </c>
      <c r="D23" s="95">
        <f>'DOE25'!G24</f>
        <v>184.38</v>
      </c>
      <c r="E23" s="95">
        <f>'DOE25'!H24</f>
        <v>785.01000000000022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7485.13</v>
      </c>
      <c r="D28" s="95">
        <f>'DOE25'!G29</f>
        <v>346.79</v>
      </c>
      <c r="E28" s="95">
        <f>'DOE25'!H29</f>
        <v>4260.0200000000004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4252.9799999999996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461.54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37770.789999999994</v>
      </c>
      <c r="D31" s="41">
        <f>SUM(D21:D30)</f>
        <v>992.71</v>
      </c>
      <c r="E31" s="41">
        <f>SUM(E21:E30)</f>
        <v>33567.46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219988.46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135021.29999999999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87008.17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222029.46999999997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219988.46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259800.25999999995</v>
      </c>
      <c r="D51" s="41">
        <f>D50+D31</f>
        <v>992.71</v>
      </c>
      <c r="E51" s="41">
        <f>E50+E31</f>
        <v>33567.46</v>
      </c>
      <c r="F51" s="41">
        <f>F50+F31</f>
        <v>0</v>
      </c>
      <c r="G51" s="41">
        <f>G50+G31</f>
        <v>219988.46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4510491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128.11000000000001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20270.05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75490.63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75618.740000000005</v>
      </c>
      <c r="D62" s="130">
        <f>SUM(D57:D61)</f>
        <v>20270.05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4586109.74</v>
      </c>
      <c r="D63" s="22">
        <f>D56+D62</f>
        <v>20270.05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751977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762050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1514027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49083.34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23950.21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148.13999999999999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73033.549999999988</v>
      </c>
      <c r="D78" s="130">
        <f>SUM(D72:D77)</f>
        <v>148.13999999999999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1587060.55</v>
      </c>
      <c r="D81" s="130">
        <f>SUM(D79:D80)+D78+D70</f>
        <v>148.13999999999999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74298.490000000005</v>
      </c>
      <c r="D88" s="95">
        <f>SUM('DOE25'!G153:G161)</f>
        <v>68646.86</v>
      </c>
      <c r="E88" s="95">
        <f>SUM('DOE25'!H153:H161)</f>
        <v>174530.99000000002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130.88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74429.37000000001</v>
      </c>
      <c r="D91" s="131">
        <f>SUM(D85:D90)</f>
        <v>68646.86</v>
      </c>
      <c r="E91" s="131">
        <f>SUM(E85:E90)</f>
        <v>174530.99000000002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19879.490000000002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19879.490000000002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6247599.6600000001</v>
      </c>
      <c r="D104" s="86">
        <f>D63+D81+D91+D103</f>
        <v>108944.54000000001</v>
      </c>
      <c r="E104" s="86">
        <f>E63+E81+E91+E103</f>
        <v>174530.99000000002</v>
      </c>
      <c r="F104" s="86">
        <f>F63+F81+F91+F103</f>
        <v>0</v>
      </c>
      <c r="G104" s="86">
        <f>G63+G81+G103</f>
        <v>30000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3304671.84</v>
      </c>
      <c r="D109" s="24" t="s">
        <v>289</v>
      </c>
      <c r="E109" s="95">
        <f>('DOE25'!L276)+('DOE25'!L295)+('DOE25'!L314)</f>
        <v>140126.12000000002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950847.35517241375</v>
      </c>
      <c r="D110" s="24" t="s">
        <v>289</v>
      </c>
      <c r="E110" s="95">
        <f>('DOE25'!L277)+('DOE25'!L296)+('DOE25'!L315)</f>
        <v>721.49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14024.36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4269543.5551724136</v>
      </c>
      <c r="D115" s="86">
        <f>SUM(D109:D114)</f>
        <v>0</v>
      </c>
      <c r="E115" s="86">
        <f>SUM(E109:E114)</f>
        <v>140847.61000000002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373393.3</v>
      </c>
      <c r="D118" s="24" t="s">
        <v>289</v>
      </c>
      <c r="E118" s="95">
        <f>+('DOE25'!L281)+('DOE25'!L300)+('DOE25'!L319)</f>
        <v>1453.76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91298.64</v>
      </c>
      <c r="D119" s="24" t="s">
        <v>289</v>
      </c>
      <c r="E119" s="95">
        <f>+('DOE25'!L282)+('DOE25'!L301)+('DOE25'!L320)</f>
        <v>28436.75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249656.36000000002</v>
      </c>
      <c r="D120" s="24" t="s">
        <v>289</v>
      </c>
      <c r="E120" s="95">
        <f>+('DOE25'!L283)+('DOE25'!L302)+('DOE25'!L321)</f>
        <v>84.6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211789.75999999995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3708.2699999999995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452382.74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267013.21999999997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108944.54000000001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1645534.02</v>
      </c>
      <c r="D128" s="86">
        <f>SUM(D118:D127)</f>
        <v>108944.54000000001</v>
      </c>
      <c r="E128" s="86">
        <f>SUM(E118:E127)</f>
        <v>33683.379999999997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164102.56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65718.83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19879.490000000002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279700.88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6194778.455172413</v>
      </c>
      <c r="D145" s="86">
        <f>(D115+D128+D144)</f>
        <v>108944.54000000001</v>
      </c>
      <c r="E145" s="86">
        <f>(E115+E128+E144)</f>
        <v>174530.99000000002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4.87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1394867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1394867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164103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164103</v>
      </c>
    </row>
    <row r="159" spans="1:9" x14ac:dyDescent="0.2">
      <c r="A159" s="22" t="s">
        <v>35</v>
      </c>
      <c r="B159" s="137">
        <f>'DOE25'!F498</f>
        <v>1230769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1230769</v>
      </c>
    </row>
    <row r="160" spans="1:9" x14ac:dyDescent="0.2">
      <c r="A160" s="22" t="s">
        <v>36</v>
      </c>
      <c r="B160" s="137">
        <f>'DOE25'!F499</f>
        <v>275715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275715</v>
      </c>
    </row>
    <row r="161" spans="1:7" x14ac:dyDescent="0.2">
      <c r="A161" s="22" t="s">
        <v>37</v>
      </c>
      <c r="B161" s="137">
        <f>'DOE25'!F500</f>
        <v>1506484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1506484</v>
      </c>
    </row>
    <row r="162" spans="1:7" x14ac:dyDescent="0.2">
      <c r="A162" s="22" t="s">
        <v>38</v>
      </c>
      <c r="B162" s="137">
        <f>'DOE25'!F501</f>
        <v>164103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164103</v>
      </c>
    </row>
    <row r="163" spans="1:7" x14ac:dyDescent="0.2">
      <c r="A163" s="22" t="s">
        <v>39</v>
      </c>
      <c r="B163" s="137">
        <f>'DOE25'!F502</f>
        <v>57940.509999999995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57940.509999999995</v>
      </c>
    </row>
    <row r="164" spans="1:7" x14ac:dyDescent="0.2">
      <c r="A164" s="22" t="s">
        <v>246</v>
      </c>
      <c r="B164" s="137">
        <f>'DOE25'!F503</f>
        <v>222043.51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222043.51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Tamworth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19560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19560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3444798</v>
      </c>
      <c r="D10" s="182">
        <f>ROUND((C10/$C$28)*100,1)</f>
        <v>55.2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951569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14024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374847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119735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249741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211790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3708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452383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267013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65719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88674.95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6244001.9500000002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6244001.9500000002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164103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4510491</v>
      </c>
      <c r="D35" s="182">
        <f t="shared" ref="D35:D40" si="1">ROUND((C35/$C$41)*100,1)</f>
        <v>69.5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75618.740000000224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1514027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73182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317607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6490925.7400000002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Tamworth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2015-09-18T19:06:25Z</cp:lastPrinted>
  <dcterms:created xsi:type="dcterms:W3CDTF">1997-12-04T19:04:30Z</dcterms:created>
  <dcterms:modified xsi:type="dcterms:W3CDTF">2015-09-18T19:10:25Z</dcterms:modified>
</cp:coreProperties>
</file>