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J644" i="1" s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L290" i="1" l="1"/>
  <c r="E109" i="2"/>
  <c r="E115" i="2" s="1"/>
  <c r="F660" i="1"/>
  <c r="F664" i="1" s="1"/>
  <c r="F672" i="1" s="1"/>
  <c r="C4" i="10" s="1"/>
  <c r="L257" i="1"/>
  <c r="L271" i="1" s="1"/>
  <c r="G632" i="1" s="1"/>
  <c r="J632" i="1" s="1"/>
  <c r="C62" i="2"/>
  <c r="C63" i="2" s="1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H646" i="1" l="1"/>
  <c r="J646" i="1" s="1"/>
  <c r="L338" i="1"/>
  <c r="L352" i="1" s="1"/>
  <c r="G633" i="1" s="1"/>
  <c r="J633" i="1" s="1"/>
  <c r="F667" i="1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<sst xmlns="http://schemas.openxmlformats.org/spreadsheetml/2006/main" count="3956" uniqueCount="914">
  <si>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</si>
  <si>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</si>
  <si>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</si>
  <si>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</si>
  <si>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</si>
  <si>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</si>
  <si>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</si>
  <si>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</si>
  <si>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</si>
  <si>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</si>
  <si>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</si>
  <si>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</si>
  <si>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</si>
  <si>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</si>
  <si>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</si>
  <si>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</si>
  <si>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</si>
  <si>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</si>
  <si>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</si>
  <si>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</si>
  <si>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</si>
  <si>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</si>
  <si>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</si>
  <si>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</si>
  <si>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</si>
  <si>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</si>
  <si>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</si>
  <si>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</si>
  <si>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</si>
  <si>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</si>
  <si>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</si>
  <si>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</si>
  <si>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</si>
  <si>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</si>
  <si>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</si>
  <si>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</si>
  <si>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</si>
  <si>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</si>
  <si>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</si>
  <si>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</si>
  <si>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</si>
  <si>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</si>
  <si>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</si>
  <si>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</si>
  <si>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</si>
  <si>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</si>
  <si>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</si>
  <si>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</si>
  <si>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</si>
  <si>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</si>
  <si>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</si>
  <si>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</si>
  <si>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</si>
  <si>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</si>
  <si>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</si>
  <si>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</si>
  <si>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</si>
  <si>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</si>
  <si>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</si>
  <si>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</si>
  <si>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</si>
  <si>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</si>
  <si>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</si>
  <si>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</si>
  <si>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</si>
  <si>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</si>
  <si>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</si>
  <si>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</si>
  <si>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</si>
  <si>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</si>
  <si>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</si>
  <si>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</si>
  <si>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</si>
  <si>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</si>
  <si>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</si>
  <si>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</si>
  <si>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</si>
  <si>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</si>
  <si>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</si>
  <si>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</si>
  <si>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</si>
  <si>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</si>
  <si>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</si>
  <si>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</si>
  <si>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</si>
  <si>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</si>
  <si>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</si>
  <si>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</si>
  <si>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</si>
  <si>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</si>
  <si>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</si>
  <si>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</si>
  <si>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</si>
  <si>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</si>
  <si>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</si>
  <si>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</si>
  <si>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</si>
  <si>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</si>
  <si>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</si>
  <si>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</si>
  <si>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</si>
  <si>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</si>
  <si>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</si>
  <si>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</si>
  <si>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</si>
  <si>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</si>
  <si>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</si>
  <si>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</si>
  <si>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</si>
  <si>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</si>
  <si>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</si>
  <si>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</si>
  <si>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</si>
  <si>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</si>
  <si>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</si>
  <si>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</si>
  <si>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</si>
  <si>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</si>
  <si>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</si>
  <si>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</si>
  <si>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</si>
  <si>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</si>
  <si>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</si>
  <si>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</si>
  <si>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</si>
  <si>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</si>
  <si>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</si>
  <si>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</si>
  <si>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</si>
  <si>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</si>
  <si>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</si>
  <si>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</si>
  <si>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</si>
  <si>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</si>
  <si>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</si>
  <si>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</si>
  <si>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</si>
  <si>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</si>
  <si>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</si>
  <si>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</si>
  <si>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</si>
  <si>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</si>
  <si>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</si>
  <si>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</si>
  <si>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</si>
  <si>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</si>
  <si>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</si>
  <si>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</si>
  <si>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</si>
  <si>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</si>
  <si>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</si>
  <si>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</si>
  <si>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</si>
  <si>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</si>
  <si>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</si>
  <si>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</si>
  <si>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</si>
  <si>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</si>
  <si>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</si>
  <si>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</si>
  <si>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</si>
  <si>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</si>
  <si>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</si>
  <si>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</si>
  <si>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</si>
  <si>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</si>
  <si>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</si>
  <si>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</si>
  <si>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</si>
  <si>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</si>
  <si>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</si>
  <si>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</si>
  <si>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</si>
  <si>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</si>
  <si>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</si>
  <si>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</si>
  <si>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</si>
  <si>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</si>
  <si>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</si>
  <si>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</si>
  <si>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</si>
  <si>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</si>
  <si>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</si>
  <si>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</si>
  <si>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</si>
  <si>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</si>
  <si>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</si>
  <si>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</si>
  <si>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</si>
  <si>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</si>
  <si>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</si>
  <si>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</si>
  <si>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</si>
  <si>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</si>
  <si>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</si>
  <si>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</si>
  <si>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</si>
  <si>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</si>
  <si>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</si>
  <si>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</si>
  <si>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</si>
  <si>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</si>
  <si>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</si>
  <si>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</si>
  <si>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</si>
  <si>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</si>
  <si>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</si>
  <si>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</si>
  <si>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</si>
  <si>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</si>
  <si>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</si>
  <si>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</si>
  <si>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</si>
  <si>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</si>
  <si>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</si>
  <si>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</si>
  <si>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</si>
  <si>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</si>
  <si>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</si>
  <si>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</si>
  <si>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</si>
  <si>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</si>
  <si>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</si>
  <si>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</si>
  <si>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</si>
  <si>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</si>
  <si>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</si>
  <si>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</si>
  <si>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</si>
  <si>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</si>
  <si>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</si>
  <si>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</si>
  <si>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</si>
  <si>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</si>
  <si>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</si>
  <si>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</si>
  <si>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</si>
  <si>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</si>
  <si>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</si>
  <si>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</si>
  <si>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</si>
  <si>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</si>
  <si>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</si>
  <si>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</si>
  <si>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</si>
  <si>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</si>
  <si>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</si>
  <si>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</si>
  <si>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</si>
  <si>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</si>
  <si>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</si>
  <si>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</si>
  <si>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</si>
  <si>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</si>
  <si>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</si>
  <si>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</si>
  <si>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</si>
  <si>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</si>
  <si>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</si>
  <si>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</si>
  <si>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</si>
  <si>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</si>
  <si>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</si>
  <si>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</si>
  <si>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</si>
  <si>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</si>
  <si>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</si>
  <si>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</si>
  <si>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</si>
  <si>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</si>
  <si>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</si>
  <si>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</si>
  <si>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</si>
  <si>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</si>
  <si>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</si>
  <si>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</si>
  <si>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</si>
  <si>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</si>
  <si>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</si>
  <si>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</si>
  <si>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</si>
  <si>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</si>
  <si>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</si>
  <si>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</si>
  <si>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</si>
  <si>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</si>
  <si>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</si>
  <si>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</si>
  <si>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</si>
  <si>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</si>
  <si>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</si>
  <si>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</si>
  <si>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</si>
  <si>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</si>
  <si>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</si>
  <si>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</si>
  <si>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</si>
  <si>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</si>
  <si>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</si>
  <si>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</si>
  <si>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</si>
  <si>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</si>
  <si>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</si>
  <si>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</si>
  <si>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</si>
  <si>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</si>
  <si>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</si>
  <si>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</si>
  <si>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</si>
  <si>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</si>
  <si>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</si>
  <si>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</si>
  <si>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</si>
  <si>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</si>
  <si>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</si>
  <si>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</si>
  <si>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</si>
  <si>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</si>
  <si>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</si>
  <si>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</si>
  <si>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</si>
  <si>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</si>
  <si>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</si>
  <si>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</si>
  <si>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</si>
  <si>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</si>
  <si>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</si>
  <si>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</si>
  <si>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</si>
  <si>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</si>
  <si>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</si>
  <si>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</si>
  <si>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</si>
  <si>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</si>
  <si>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</si>
  <si>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</si>
  <si>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</si>
  <si>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</si>
  <si>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</si>
  <si>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</si>
  <si>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</si>
  <si>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</si>
  <si>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</si>
  <si>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</si>
  <si>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</si>
  <si>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</si>
  <si>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</si>
  <si>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</si>
  <si>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</si>
  <si>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</si>
  <si>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</si>
  <si>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</si>
  <si>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</si>
  <si>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</si>
  <si>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</si>
  <si>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</si>
  <si>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</si>
  <si>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</si>
  <si>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</si>
  <si>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</si>
  <si>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</si>
  <si>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</si>
  <si>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</si>
  <si>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</si>
  <si>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</si>
  <si>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</si>
  <si>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</si>
  <si>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</si>
  <si>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</si>
  <si>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</si>
  <si>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</si>
  <si>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</si>
  <si>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</si>
  <si>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</si>
  <si>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</si>
  <si>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</si>
  <si>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</si>
  <si>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</si>
  <si>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</si>
  <si>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</si>
  <si>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</si>
  <si>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</si>
  <si>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</si>
  <si>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</si>
  <si>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</si>
  <si>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</si>
  <si>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</si>
  <si>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</si>
  <si>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</si>
  <si>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</si>
  <si>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</si>
  <si>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</si>
  <si>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</si>
  <si>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</si>
  <si>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</si>
  <si>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</si>
  <si>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</si>
  <si>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</si>
  <si>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</si>
  <si>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</si>
  <si>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</si>
  <si>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</si>
  <si>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</si>
  <si>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</si>
  <si>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</si>
  <si>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</si>
  <si>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</si>
  <si>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</si>
  <si>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</si>
  <si>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</si>
  <si>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</si>
  <si>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</si>
  <si>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</si>
  <si>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</si>
  <si>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</si>
  <si>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</si>
  <si>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</si>
  <si>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</si>
  <si>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</si>
  <si>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</si>
  <si>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</si>
  <si>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</si>
  <si>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</si>
  <si>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</si>
  <si>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</si>
  <si>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</si>
  <si>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</si>
  <si>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</si>
  <si>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</si>
  <si>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</si>
  <si>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</si>
  <si>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</si>
  <si>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</si>
  <si>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</si>
  <si>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</si>
  <si>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</si>
  <si>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</si>
  <si>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</si>
  <si>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</si>
  <si>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</si>
  <si>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</si>
  <si>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</si>
  <si>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</si>
  <si>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</si>
  <si>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</si>
  <si>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</si>
  <si>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</si>
  <si>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</si>
  <si>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</si>
  <si>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</si>
  <si>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</si>
  <si>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</si>
  <si>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</si>
  <si>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</si>
  <si>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</si>
  <si>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</si>
  <si>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</si>
  <si>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</si>
  <si>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</si>
  <si>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</si>
  <si>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</si>
  <si>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</si>
  <si>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</si>
  <si>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</si>
  <si>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</si>
  <si>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</si>
  <si>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</si>
  <si>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</si>
  <si>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</si>
  <si>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</si>
  <si>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</si>
  <si>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</si>
  <si>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</si>
  <si>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</si>
  <si>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</si>
  <si>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</si>
  <si>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</si>
  <si>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</si>
  <si>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</si>
  <si>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</si>
  <si>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</si>
  <si>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</si>
  <si>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</si>
  <si>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</si>
  <si>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</si>
  <si>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</si>
  <si>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</si>
  <si>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</si>
  <si>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</si>
  <si>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</si>
  <si>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</si>
  <si>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</si>
  <si>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</si>
  <si>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</si>
  <si>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</si>
  <si>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</si>
  <si>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</si>
  <si>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</si>
  <si>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</si>
  <si>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</si>
  <si>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</si>
  <si>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</si>
  <si>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</si>
  <si>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</si>
  <si>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</si>
  <si>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</si>
  <si>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</si>
  <si>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</si>
  <si>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</si>
  <si>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</si>
  <si>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</si>
  <si>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</si>
  <si>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</si>
  <si>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</si>
  <si>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</si>
  <si>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</si>
  <si>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</si>
  <si>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</si>
  <si>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</si>
  <si>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</si>
  <si>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</si>
  <si>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</si>
  <si>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</si>
  <si>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</si>
  <si>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</si>
  <si>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</si>
  <si>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</si>
  <si>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</si>
  <si>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</si>
  <si>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</si>
  <si>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</si>
  <si>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</si>
  <si>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</si>
  <si>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</si>
  <si>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</si>
  <si>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</si>
  <si>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</si>
  <si>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</si>
  <si>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</si>
  <si>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</si>
  <si>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</si>
  <si>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</si>
  <si>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</si>
  <si>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</si>
  <si>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</si>
  <si>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</si>
  <si>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</si>
  <si>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</si>
  <si>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</si>
  <si>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</si>
  <si>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</si>
  <si>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</si>
  <si>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</si>
  <si>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</si>
  <si>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</si>
  <si>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</si>
  <si>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</si>
  <si>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</si>
  <si>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</si>
  <si>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</si>
  <si>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</si>
  <si>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</si>
  <si>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</si>
  <si>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</si>
  <si>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</si>
  <si>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</si>
  <si>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</si>
  <si>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</si>
  <si>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</si>
  <si>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</si>
  <si>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</si>
  <si>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</si>
  <si>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</si>
  <si>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</si>
  <si>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</si>
  <si>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</si>
  <si>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</si>
  <si>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</si>
  <si>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</si>
  <si>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</si>
  <si>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</si>
  <si>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</si>
  <si>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</si>
  <si>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</si>
  <si>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</si>
  <si>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</si>
  <si>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</si>
  <si>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</si>
  <si>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</si>
  <si>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</si>
  <si>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</si>
  <si>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</si>
  <si>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</si>
  <si>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</si>
  <si>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</si>
  <si>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</si>
  <si>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</si>
  <si>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</si>
  <si>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</si>
  <si>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</si>
  <si>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</si>
  <si>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</si>
  <si>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</si>
  <si>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</si>
  <si>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</si>
  <si>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</si>
  <si>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</si>
  <si>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</si>
  <si>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</si>
  <si>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</si>
  <si>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</si>
  <si>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</si>
  <si>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</si>
  <si>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</si>
  <si>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</si>
  <si>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</si>
  <si>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</si>
  <si>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</si>
  <si>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</si>
  <si>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</si>
  <si>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</si>
  <si>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</si>
  <si>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</si>
  <si>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</si>
  <si>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</si>
  <si>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</si>
  <si>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</si>
  <si>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</si>
  <si>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</si>
  <si>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</si>
  <si>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</si>
  <si>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</si>
  <si>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</si>
  <si>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</si>
  <si>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</si>
  <si>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</si>
  <si>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</si>
  <si>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</si>
  <si>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</si>
  <si>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</si>
  <si>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</si>
  <si>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</si>
  <si>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</si>
  <si>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</si>
  <si>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</si>
  <si>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</si>
  <si>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</si>
  <si>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</si>
  <si>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</si>
  <si>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</si>
  <si>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</si>
  <si>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</si>
  <si>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</si>
  <si>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</si>
  <si>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</si>
  <si>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</si>
  <si>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</si>
  <si>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</si>
  <si>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</si>
  <si>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</si>
  <si>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</si>
  <si>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</si>
  <si>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</si>
  <si>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</si>
  <si>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</si>
  <si>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</si>
  <si>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</si>
  <si>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</si>
  <si>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</si>
  <si>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</si>
  <si>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</si>
  <si>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</si>
  <si>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</si>
  <si>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</si>
  <si>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</si>
  <si>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</si>
  <si>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</si>
  <si>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</si>
  <si>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</si>
  <si>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</si>
  <si>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</si>
  <si>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</si>
  <si>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</si>
  <si>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</si>
  <si>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</si>
  <si>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</si>
  <si>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</si>
  <si>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</si>
  <si>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</si>
  <si>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</si>
  <si>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</si>
  <si>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</si>
  <si>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</si>
  <si>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</si>
  <si>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</si>
  <si>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</si>
  <si>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</si>
  <si>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</si>
  <si>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</si>
  <si>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</si>
  <si>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</si>
  <si>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</si>
  <si>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</si>
  <si>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</si>
  <si>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</si>
  <si>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</si>
  <si>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</si>
  <si>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</si>
  <si>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</si>
  <si>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</si>
  <si>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</si>
  <si>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</si>
  <si>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</si>
  <si>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</si>
  <si>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</si>
  <si>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</si>
  <si>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</si>
  <si>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</si>
  <si>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</si>
  <si>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</si>
  <si>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</si>
  <si>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</si>
  <si>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</si>
  <si>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</si>
  <si>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</si>
  <si>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</si>
  <si>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</si>
  <si>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</si>
  <si>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</si>
  <si>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</si>
  <si>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</si>
  <si>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</si>
  <si>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</si>
  <si>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</si>
  <si>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</si>
  <si>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</si>
  <si>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</si>
  <si>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</si>
  <si>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</si>
  <si>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</si>
  <si>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</si>
  <si>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</si>
  <si>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</si>
  <si>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</si>
  <si>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</si>
  <si>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</si>
  <si>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</si>
  <si>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</si>
  <si>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</si>
  <si>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</si>
  <si>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</si>
  <si>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</si>
  <si>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</si>
  <si>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</si>
  <si>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</si>
  <si>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</si>
  <si>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</si>
  <si>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</si>
  <si>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</si>
  <si>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</si>
  <si>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</si>
  <si>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</si>
  <si>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</si>
  <si>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</si>
  <si>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</si>
  <si>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</si>
  <si>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</si>
  <si>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</si>
  <si>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</si>
  <si>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</si>
  <si>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</si>
  <si>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</si>
  <si>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</si>
  <si>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</si>
  <si>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</si>
  <si>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</si>
  <si>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</si>
  <si>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</si>
  <si>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</si>
  <si>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</si>
  <si>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</si>
  <si>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</si>
  <si>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</si>
  <si>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</si>
  <si>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</si>
  <si>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</si>
  <si>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</si>
  <si>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</si>
  <si>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</si>
  <si>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</si>
  <si>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</si>
  <si>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</si>
  <si>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</si>
  <si>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</si>
  <si>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</si>
  <si>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</si>
  <si>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</si>
  <si>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</si>
  <si>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</si>
  <si>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</si>
  <si>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</si>
  <si>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</si>
  <si>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</si>
  <si>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</si>
  <si>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</si>
  <si>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</si>
  <si>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</si>
  <si>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</si>
  <si>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</si>
  <si>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</si>
  <si>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</si>
  <si>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</si>
  <si>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</si>
  <si>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</si>
  <si>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</si>
  <si>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</si>
  <si>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</si>
  <si>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</si>
  <si>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</si>
  <si>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</si>
  <si>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</si>
  <si>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</si>
  <si>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</si>
  <si>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</si>
  <si>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</si>
  <si>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</si>
  <si>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</si>
  <si>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</si>
  <si>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</si>
  <si>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</si>
  <si>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</si>
  <si>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</si>
  <si>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</si>
  <si>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</si>
  <si>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</si>
  <si>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</si>
  <si>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</si>
  <si>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</si>
  <si>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</si>
  <si>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</si>
  <si>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</si>
  <si>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</si>
  <si>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</si>
  <si>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</si>
  <si>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</si>
  <si>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</si>
  <si>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</si>
  <si>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</si>
  <si>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</si>
  <si>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</si>
  <si>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</si>
  <si>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</si>
  <si>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</si>
  <si>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</si>
  <si>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</si>
  <si>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</si>
  <si>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</si>
  <si>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</si>
  <si>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</si>
  <si>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</si>
  <si>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</si>
  <si>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</si>
  <si>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</si>
  <si>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</si>
  <si>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</si>
  <si>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</si>
  <si>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</si>
  <si>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</si>
  <si>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</si>
  <si>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</si>
  <si>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</si>
  <si>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</si>
  <si>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</si>
  <si>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</si>
  <si>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</si>
  <si>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</si>
  <si>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</si>
  <si>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</si>
  <si>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</si>
  <si>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</si>
  <si>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</si>
  <si>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</si>
  <si>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</si>
  <si>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</si>
  <si>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</si>
  <si>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</si>
  <si>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</si>
  <si>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</si>
  <si>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</si>
  <si>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</si>
  <si>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</si>
  <si>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</si>
  <si>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</si>
  <si>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</si>
  <si>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</si>
  <si>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</si>
  <si>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</si>
  <si>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</si>
  <si>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</si>
  <si>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</si>
  <si>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</si>
  <si>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</si>
  <si>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</si>
  <si>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</si>
  <si>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</si>
  <si>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</si>
  <si>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</si>
  <si>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</si>
  <si>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</si>
  <si>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</si>
  <si>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</si>
  <si>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THORNTON SCHOOL DISTRICT</t>
  </si>
  <si>
    <t>07/10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</si>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</sst>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531</v>
      </c>
      <c r="C2" s="21">
        <v>531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213761.35</v>
      </c>
      <c r="G9" s="18">
        <v>-13714.86</v>
      </c>
      <c r="H9" s="18">
        <v>-13522.59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1079.49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4877.87</v>
      </c>
      <c r="G13" s="18">
        <v>14878.61</v>
      </c>
      <c r="H13" s="18">
        <v>18496.669999999998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3346.94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221986.16</v>
      </c>
      <c r="G19" s="41">
        <f>SUM(G9:G18)</f>
        <v>1163.75</v>
      </c>
      <c r="H19" s="41">
        <f>SUM(H9:H18)</f>
        <v>4974.0799999999981</v>
      </c>
      <c r="I19" s="41">
        <f>SUM(I9:I18)</f>
        <v>0</v>
      </c>
      <c r="J19" s="41">
        <f>SUM(J9:J18)</f>
        <v>1079.49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28956.43</v>
      </c>
      <c r="G24" s="18">
        <v>42.81</v>
      </c>
      <c r="H24" s="18">
        <v>1217.28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1120.94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28956.43</v>
      </c>
      <c r="G32" s="41">
        <f>SUM(G22:G31)</f>
        <v>1163.75</v>
      </c>
      <c r="H32" s="41">
        <f>SUM(H22:H31)</f>
        <v>1217.28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114780.2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3756.8</v>
      </c>
      <c r="I48" s="18"/>
      <c r="J48" s="13">
        <f>SUM(I459)</f>
        <v>1079.49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78249.53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193029.72999999998</v>
      </c>
      <c r="G51" s="41">
        <f>SUM(G35:G50)</f>
        <v>0</v>
      </c>
      <c r="H51" s="41">
        <f>SUM(H35:H50)</f>
        <v>3756.8</v>
      </c>
      <c r="I51" s="41">
        <f>SUM(I35:I50)</f>
        <v>0</v>
      </c>
      <c r="J51" s="41">
        <f>SUM(J35:J50)</f>
        <v>1079.49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221986.15999999997</v>
      </c>
      <c r="G52" s="41">
        <f>G51+G32</f>
        <v>1163.75</v>
      </c>
      <c r="H52" s="41">
        <f>H51+H32</f>
        <v>4974.08</v>
      </c>
      <c r="I52" s="41">
        <f>I51+I32</f>
        <v>0</v>
      </c>
      <c r="J52" s="41">
        <f>J51+J32</f>
        <v>1079.49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2843885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2843885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182.28</v>
      </c>
      <c r="G96" s="18"/>
      <c r="H96" s="18"/>
      <c r="I96" s="18"/>
      <c r="J96" s="18">
        <v>3.33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18594.05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3764.73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20767.46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25014.47</v>
      </c>
      <c r="G111" s="41">
        <f>SUM(G96:G110)</f>
        <v>18594.05</v>
      </c>
      <c r="H111" s="41">
        <f>SUM(H96:H110)</f>
        <v>0</v>
      </c>
      <c r="I111" s="41">
        <f>SUM(I96:I110)</f>
        <v>0</v>
      </c>
      <c r="J111" s="41">
        <f>SUM(J96:J110)</f>
        <v>3.33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2868899.47</v>
      </c>
      <c r="G112" s="41">
        <f>G60+G111</f>
        <v>18594.05</v>
      </c>
      <c r="H112" s="41">
        <f>H60+H79+H94+H111</f>
        <v>0</v>
      </c>
      <c r="I112" s="41">
        <f>I60+I111</f>
        <v>0</v>
      </c>
      <c r="J112" s="41">
        <f>J60+J111</f>
        <v>3.33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428452.86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598082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1026534.86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100909.1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807.91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100909.1</v>
      </c>
      <c r="G136" s="41">
        <f>SUM(G123:G135)</f>
        <v>807.91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1127443.96</v>
      </c>
      <c r="G140" s="41">
        <f>G121+SUM(G136:G137)</f>
        <v>807.91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67978.25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786.17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54595.58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41995.23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20872.02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41995.23</v>
      </c>
      <c r="G162" s="41">
        <f>SUM(G150:G161)</f>
        <v>54595.58</v>
      </c>
      <c r="H162" s="41">
        <f>SUM(H150:H161)</f>
        <v>89636.44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8802.7800000000007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50798.01</v>
      </c>
      <c r="G169" s="41">
        <f>G147+G162+SUM(G163:G168)</f>
        <v>54595.58</v>
      </c>
      <c r="H169" s="41">
        <f>H147+H162+SUM(H163:H168)</f>
        <v>89636.44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39997.199999999997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39997.199999999997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39997.199999999997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4047141.44</v>
      </c>
      <c r="G193" s="47">
        <f>G112+G140+G169+G192</f>
        <v>113994.74</v>
      </c>
      <c r="H193" s="47">
        <f>H112+H140+H169+H192</f>
        <v>89636.44</v>
      </c>
      <c r="I193" s="47">
        <f>I112+I140+I169+I192</f>
        <v>0</v>
      </c>
      <c r="J193" s="47">
        <f>J112+J140+J192</f>
        <v>3.33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1131356.8899999999</v>
      </c>
      <c r="G197" s="18">
        <v>473392.61</v>
      </c>
      <c r="H197" s="18">
        <v>12961.06</v>
      </c>
      <c r="I197" s="18">
        <v>50054.48</v>
      </c>
      <c r="J197" s="18">
        <v>15038.92</v>
      </c>
      <c r="K197" s="18">
        <v>2051.4</v>
      </c>
      <c r="L197" s="19">
        <f>SUM(F197:K197)</f>
        <v>1684855.3599999999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390859.65</v>
      </c>
      <c r="G198" s="18">
        <v>156860.85999999999</v>
      </c>
      <c r="H198" s="18">
        <v>81988</v>
      </c>
      <c r="I198" s="18">
        <v>2127.67</v>
      </c>
      <c r="J198" s="18">
        <v>4949.45</v>
      </c>
      <c r="K198" s="18"/>
      <c r="L198" s="19">
        <f>SUM(F198:K198)</f>
        <v>636785.63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37802.269999999997</v>
      </c>
      <c r="G200" s="18">
        <v>8150.23</v>
      </c>
      <c r="H200" s="18">
        <v>4000</v>
      </c>
      <c r="I200" s="18">
        <v>6491.18</v>
      </c>
      <c r="J200" s="18"/>
      <c r="K200" s="18">
        <v>2127.9299999999998</v>
      </c>
      <c r="L200" s="19">
        <f>SUM(F200:K200)</f>
        <v>58571.61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62319.96</v>
      </c>
      <c r="G202" s="18">
        <v>29300.77</v>
      </c>
      <c r="H202" s="18">
        <v>195806.27</v>
      </c>
      <c r="I202" s="18">
        <v>7215.4</v>
      </c>
      <c r="J202" s="18"/>
      <c r="K202" s="18"/>
      <c r="L202" s="19">
        <f t="shared" ref="L202:L208" si="0">SUM(F202:K202)</f>
        <v>294642.40000000002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3913.29</v>
      </c>
      <c r="G203" s="18">
        <v>34076.9</v>
      </c>
      <c r="H203" s="18">
        <v>42486.39</v>
      </c>
      <c r="I203" s="18">
        <v>4210.82</v>
      </c>
      <c r="J203" s="18"/>
      <c r="K203" s="18"/>
      <c r="L203" s="19">
        <f t="shared" si="0"/>
        <v>84687.4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6390</v>
      </c>
      <c r="G204" s="18">
        <v>429.37</v>
      </c>
      <c r="H204" s="18">
        <v>153160.29999999999</v>
      </c>
      <c r="I204" s="18">
        <v>62</v>
      </c>
      <c r="J204" s="18"/>
      <c r="K204" s="18">
        <v>6327.8</v>
      </c>
      <c r="L204" s="19">
        <f t="shared" si="0"/>
        <v>166369.46999999997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159981.60999999999</v>
      </c>
      <c r="G205" s="18">
        <v>93691.58</v>
      </c>
      <c r="H205" s="18">
        <v>4086.41</v>
      </c>
      <c r="I205" s="18">
        <v>1404.28</v>
      </c>
      <c r="J205" s="18"/>
      <c r="K205" s="18">
        <v>750</v>
      </c>
      <c r="L205" s="19">
        <f t="shared" si="0"/>
        <v>259913.88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397.35</v>
      </c>
      <c r="I206" s="18"/>
      <c r="J206" s="18"/>
      <c r="K206" s="18"/>
      <c r="L206" s="19">
        <f t="shared" si="0"/>
        <v>397.35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96724.51</v>
      </c>
      <c r="G207" s="18">
        <v>27200.36</v>
      </c>
      <c r="H207" s="18">
        <v>106194.52</v>
      </c>
      <c r="I207" s="18">
        <v>106577.64</v>
      </c>
      <c r="J207" s="18">
        <v>18618.63</v>
      </c>
      <c r="K207" s="18"/>
      <c r="L207" s="19">
        <f t="shared" si="0"/>
        <v>355315.66000000003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142480.82</v>
      </c>
      <c r="I208" s="18"/>
      <c r="J208" s="18"/>
      <c r="K208" s="18"/>
      <c r="L208" s="19">
        <f t="shared" si="0"/>
        <v>142480.82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1889348.18</v>
      </c>
      <c r="G211" s="41">
        <f t="shared" si="1"/>
        <v>823102.67999999993</v>
      </c>
      <c r="H211" s="41">
        <f t="shared" si="1"/>
        <v>743561.11999999988</v>
      </c>
      <c r="I211" s="41">
        <f t="shared" si="1"/>
        <v>178143.46999999997</v>
      </c>
      <c r="J211" s="41">
        <f t="shared" si="1"/>
        <v>38607</v>
      </c>
      <c r="K211" s="41">
        <f t="shared" si="1"/>
        <v>11257.130000000001</v>
      </c>
      <c r="L211" s="41">
        <f t="shared" si="1"/>
        <v>3684019.5799999991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1889348.18</v>
      </c>
      <c r="G257" s="41">
        <f t="shared" si="8"/>
        <v>823102.67999999993</v>
      </c>
      <c r="H257" s="41">
        <f t="shared" si="8"/>
        <v>743561.11999999988</v>
      </c>
      <c r="I257" s="41">
        <f t="shared" si="8"/>
        <v>178143.46999999997</v>
      </c>
      <c r="J257" s="41">
        <f t="shared" si="8"/>
        <v>38607</v>
      </c>
      <c r="K257" s="41">
        <f t="shared" si="8"/>
        <v>11257.130000000001</v>
      </c>
      <c r="L257" s="41">
        <f t="shared" si="8"/>
        <v>3684019.5799999991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277400</v>
      </c>
      <c r="L260" s="19">
        <f>SUM(F260:K260)</f>
        <v>277400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10097.36</v>
      </c>
      <c r="L261" s="19">
        <f>SUM(F261:K261)</f>
        <v>10097.36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39997.199999999997</v>
      </c>
      <c r="L263" s="19">
        <f>SUM(F263:K263)</f>
        <v>39997.199999999997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327494.56</v>
      </c>
      <c r="L270" s="41">
        <f t="shared" si="9"/>
        <v>327494.56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1889348.18</v>
      </c>
      <c r="G271" s="42">
        <f t="shared" si="11"/>
        <v>823102.67999999993</v>
      </c>
      <c r="H271" s="42">
        <f t="shared" si="11"/>
        <v>743561.11999999988</v>
      </c>
      <c r="I271" s="42">
        <f t="shared" si="11"/>
        <v>178143.46999999997</v>
      </c>
      <c r="J271" s="42">
        <f t="shared" si="11"/>
        <v>38607</v>
      </c>
      <c r="K271" s="42">
        <f t="shared" si="11"/>
        <v>338751.69</v>
      </c>
      <c r="L271" s="42">
        <f t="shared" si="11"/>
        <v>4011514.1399999992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39637.78</v>
      </c>
      <c r="G276" s="18">
        <v>23057.08</v>
      </c>
      <c r="H276" s="18"/>
      <c r="I276" s="18">
        <v>1118.05</v>
      </c>
      <c r="J276" s="18">
        <v>4306.9799999999996</v>
      </c>
      <c r="K276" s="18"/>
      <c r="L276" s="19">
        <f>SUM(F276:K276)</f>
        <v>68119.89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368.24</v>
      </c>
      <c r="J277" s="18"/>
      <c r="K277" s="18"/>
      <c r="L277" s="19">
        <f>SUM(F277:K277)</f>
        <v>368.24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7500</v>
      </c>
      <c r="G282" s="18">
        <v>1602.41</v>
      </c>
      <c r="H282" s="18">
        <v>1983.65</v>
      </c>
      <c r="I282" s="18"/>
      <c r="J282" s="18"/>
      <c r="K282" s="18"/>
      <c r="L282" s="19">
        <f t="shared" si="12"/>
        <v>11086.06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3455.13</v>
      </c>
      <c r="G283" s="18"/>
      <c r="H283" s="18"/>
      <c r="I283" s="18"/>
      <c r="J283" s="18"/>
      <c r="K283" s="18"/>
      <c r="L283" s="19">
        <f t="shared" si="12"/>
        <v>3455.13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1460.02</v>
      </c>
      <c r="L285" s="19">
        <f t="shared" si="12"/>
        <v>1460.02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50592.909999999996</v>
      </c>
      <c r="G290" s="42">
        <f t="shared" si="13"/>
        <v>24659.49</v>
      </c>
      <c r="H290" s="42">
        <f t="shared" si="13"/>
        <v>1983.65</v>
      </c>
      <c r="I290" s="42">
        <f t="shared" si="13"/>
        <v>1486.29</v>
      </c>
      <c r="J290" s="42">
        <f t="shared" si="13"/>
        <v>4306.9799999999996</v>
      </c>
      <c r="K290" s="42">
        <f t="shared" si="13"/>
        <v>1460.02</v>
      </c>
      <c r="L290" s="41">
        <f t="shared" si="13"/>
        <v>84489.340000000011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>
        <v>5147.1000000000004</v>
      </c>
      <c r="K336" s="18"/>
      <c r="L336" s="19">
        <f t="shared" si="18"/>
        <v>5147.1000000000004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5147.1000000000004</v>
      </c>
      <c r="K337" s="41">
        <f t="shared" si="19"/>
        <v>0</v>
      </c>
      <c r="L337" s="41">
        <f t="shared" si="18"/>
        <v>5147.1000000000004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50592.909999999996</v>
      </c>
      <c r="G338" s="41">
        <f t="shared" si="20"/>
        <v>24659.49</v>
      </c>
      <c r="H338" s="41">
        <f t="shared" si="20"/>
        <v>1983.65</v>
      </c>
      <c r="I338" s="41">
        <f t="shared" si="20"/>
        <v>1486.29</v>
      </c>
      <c r="J338" s="41">
        <f t="shared" si="20"/>
        <v>9454.08</v>
      </c>
      <c r="K338" s="41">
        <f t="shared" si="20"/>
        <v>1460.02</v>
      </c>
      <c r="L338" s="41">
        <f t="shared" si="20"/>
        <v>89636.440000000017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50592.909999999996</v>
      </c>
      <c r="G352" s="41">
        <f>G338</f>
        <v>24659.49</v>
      </c>
      <c r="H352" s="41">
        <f>H338</f>
        <v>1983.65</v>
      </c>
      <c r="I352" s="41">
        <f>I338</f>
        <v>1486.29</v>
      </c>
      <c r="J352" s="41">
        <f>J338</f>
        <v>9454.08</v>
      </c>
      <c r="K352" s="47">
        <f>K338+K351</f>
        <v>1460.02</v>
      </c>
      <c r="L352" s="41">
        <f>L338+L351</f>
        <v>89636.440000000017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43416.98</v>
      </c>
      <c r="G358" s="18">
        <v>26091.85</v>
      </c>
      <c r="H358" s="18">
        <v>852.82</v>
      </c>
      <c r="I358" s="18">
        <v>42118.79</v>
      </c>
      <c r="J358" s="18"/>
      <c r="K358" s="18">
        <v>1514.3</v>
      </c>
      <c r="L358" s="13">
        <f>SUM(F358:K358)</f>
        <v>113994.74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43416.98</v>
      </c>
      <c r="G362" s="47">
        <f t="shared" si="22"/>
        <v>26091.85</v>
      </c>
      <c r="H362" s="47">
        <f t="shared" si="22"/>
        <v>852.82</v>
      </c>
      <c r="I362" s="47">
        <f t="shared" si="22"/>
        <v>42118.79</v>
      </c>
      <c r="J362" s="47">
        <f t="shared" si="22"/>
        <v>0</v>
      </c>
      <c r="K362" s="47">
        <f t="shared" si="22"/>
        <v>1514.3</v>
      </c>
      <c r="L362" s="47">
        <f t="shared" si="22"/>
        <v>113994.74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41303.81</v>
      </c>
      <c r="G367" s="18"/>
      <c r="H367" s="18"/>
      <c r="I367" s="56">
        <f>SUM(F367:H367)</f>
        <v>41303.81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814.98</v>
      </c>
      <c r="G368" s="63"/>
      <c r="H368" s="63"/>
      <c r="I368" s="56">
        <f>SUM(F368:H368)</f>
        <v>814.98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42118.79</v>
      </c>
      <c r="G369" s="47">
        <f>SUM(G367:G368)</f>
        <v>0</v>
      </c>
      <c r="H369" s="47">
        <f>SUM(H367:H368)</f>
        <v>0</v>
      </c>
      <c r="I369" s="47">
        <f>SUM(I367:I368)</f>
        <v>42118.79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3.33</v>
      </c>
      <c r="I389" s="18"/>
      <c r="J389" s="24" t="s">
        <v>289</v>
      </c>
      <c r="K389" s="24" t="s">
        <v>289</v>
      </c>
      <c r="L389" s="56">
        <f t="shared" si="25"/>
        <v>3.33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3.33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3.33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3.33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3.33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66.81</v>
      </c>
      <c r="I415" s="18"/>
      <c r="J415" s="18"/>
      <c r="K415" s="18"/>
      <c r="L415" s="56">
        <f t="shared" si="27"/>
        <v>66.81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66.81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66.81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66.81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66.81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1079.49</v>
      </c>
      <c r="G440" s="18"/>
      <c r="H440" s="18"/>
      <c r="I440" s="56">
        <f t="shared" si="33"/>
        <v>1079.49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1079.49</v>
      </c>
      <c r="G446" s="13">
        <f>SUM(G439:G445)</f>
        <v>0</v>
      </c>
      <c r="H446" s="13">
        <f>SUM(H439:H445)</f>
        <v>0</v>
      </c>
      <c r="I446" s="13">
        <f>SUM(I439:I445)</f>
        <v>1079.49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1079.49</v>
      </c>
      <c r="G459" s="18"/>
      <c r="H459" s="18"/>
      <c r="I459" s="56">
        <f t="shared" si="34"/>
        <v>1079.49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1079.49</v>
      </c>
      <c r="G460" s="83">
        <f>SUM(G454:G459)</f>
        <v>0</v>
      </c>
      <c r="H460" s="83">
        <f>SUM(H454:H459)</f>
        <v>0</v>
      </c>
      <c r="I460" s="83">
        <f>SUM(I454:I459)</f>
        <v>1079.49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1079.49</v>
      </c>
      <c r="G461" s="42">
        <f>G452+G460</f>
        <v>0</v>
      </c>
      <c r="H461" s="42">
        <f>H452+H460</f>
        <v>0</v>
      </c>
      <c r="I461" s="42">
        <f>I452+I460</f>
        <v>1079.49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157402.43</v>
      </c>
      <c r="G465" s="18">
        <v>0</v>
      </c>
      <c r="H465" s="18">
        <v>3756.8</v>
      </c>
      <c r="I465" s="18"/>
      <c r="J465" s="18">
        <v>1142.97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4047141.44</v>
      </c>
      <c r="G468" s="18">
        <v>113994.74</v>
      </c>
      <c r="H468" s="18">
        <v>89636.44</v>
      </c>
      <c r="I468" s="18"/>
      <c r="J468" s="18">
        <v>3.33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4047141.44</v>
      </c>
      <c r="G470" s="53">
        <f>SUM(G468:G469)</f>
        <v>113994.74</v>
      </c>
      <c r="H470" s="53">
        <f>SUM(H468:H469)</f>
        <v>89636.44</v>
      </c>
      <c r="I470" s="53">
        <f>SUM(I468:I469)</f>
        <v>0</v>
      </c>
      <c r="J470" s="53">
        <f>SUM(J468:J469)</f>
        <v>3.33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4011514.14</v>
      </c>
      <c r="G472" s="18">
        <v>113994.74</v>
      </c>
      <c r="H472" s="18">
        <v>89636.44</v>
      </c>
      <c r="I472" s="18"/>
      <c r="J472" s="18">
        <v>66.81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4011514.14</v>
      </c>
      <c r="G474" s="53">
        <f>SUM(G472:G473)</f>
        <v>113994.74</v>
      </c>
      <c r="H474" s="53">
        <f>SUM(H472:H473)</f>
        <v>89636.44</v>
      </c>
      <c r="I474" s="53">
        <f>SUM(I472:I473)</f>
        <v>0</v>
      </c>
      <c r="J474" s="53">
        <f>SUM(J472:J473)</f>
        <v>66.81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193029.72999999998</v>
      </c>
      <c r="G476" s="53">
        <f>(G465+G470)- G474</f>
        <v>0</v>
      </c>
      <c r="H476" s="53">
        <f>(H465+H470)- H474</f>
        <v>3756.8000000000029</v>
      </c>
      <c r="I476" s="53">
        <f>(I465+I470)- I474</f>
        <v>0</v>
      </c>
      <c r="J476" s="53">
        <f>(J465+J470)- J474</f>
        <v>1079.49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1387000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554800</v>
      </c>
      <c r="G495" s="18"/>
      <c r="H495" s="18"/>
      <c r="I495" s="18"/>
      <c r="J495" s="18"/>
      <c r="K495" s="53">
        <f>SUM(F495:J495)</f>
        <v>554800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277400</v>
      </c>
      <c r="G497" s="18"/>
      <c r="H497" s="18"/>
      <c r="I497" s="18"/>
      <c r="J497" s="18"/>
      <c r="K497" s="53">
        <f t="shared" si="35"/>
        <v>277400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277400</v>
      </c>
      <c r="G498" s="204"/>
      <c r="H498" s="204"/>
      <c r="I498" s="204"/>
      <c r="J498" s="204"/>
      <c r="K498" s="205">
        <f t="shared" si="35"/>
        <v>277400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3347</v>
      </c>
      <c r="G499" s="18"/>
      <c r="H499" s="18"/>
      <c r="I499" s="18"/>
      <c r="J499" s="18"/>
      <c r="K499" s="53">
        <f t="shared" si="35"/>
        <v>3347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280747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280747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277400</v>
      </c>
      <c r="G501" s="204"/>
      <c r="H501" s="204"/>
      <c r="I501" s="204"/>
      <c r="J501" s="204"/>
      <c r="K501" s="205">
        <f t="shared" si="35"/>
        <v>277400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3347</v>
      </c>
      <c r="G502" s="18"/>
      <c r="H502" s="18"/>
      <c r="I502" s="18"/>
      <c r="J502" s="18"/>
      <c r="K502" s="53">
        <f t="shared" si="35"/>
        <v>3347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280747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280747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390859.65</v>
      </c>
      <c r="G521" s="18">
        <v>156860.85999999999</v>
      </c>
      <c r="H521" s="18">
        <v>81988</v>
      </c>
      <c r="I521" s="18">
        <v>2495.91</v>
      </c>
      <c r="J521" s="18">
        <v>4949.45</v>
      </c>
      <c r="K521" s="18"/>
      <c r="L521" s="88">
        <f>SUM(F521:K521)</f>
        <v>637153.87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390859.65</v>
      </c>
      <c r="G524" s="108">
        <f t="shared" ref="G524:L524" si="36">SUM(G521:G523)</f>
        <v>156860.85999999999</v>
      </c>
      <c r="H524" s="108">
        <f t="shared" si="36"/>
        <v>81988</v>
      </c>
      <c r="I524" s="108">
        <f t="shared" si="36"/>
        <v>2495.91</v>
      </c>
      <c r="J524" s="108">
        <f t="shared" si="36"/>
        <v>4949.45</v>
      </c>
      <c r="K524" s="108">
        <f t="shared" si="36"/>
        <v>0</v>
      </c>
      <c r="L524" s="89">
        <f t="shared" si="36"/>
        <v>637153.87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14538.06</v>
      </c>
      <c r="G526" s="18">
        <v>3600.68</v>
      </c>
      <c r="H526" s="18">
        <v>120755.17</v>
      </c>
      <c r="I526" s="18">
        <v>373.51</v>
      </c>
      <c r="J526" s="18"/>
      <c r="K526" s="18"/>
      <c r="L526" s="88">
        <f>SUM(F526:K526)</f>
        <v>139267.42000000001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14538.06</v>
      </c>
      <c r="G529" s="89">
        <f t="shared" ref="G529:L529" si="37">SUM(G526:G528)</f>
        <v>3600.68</v>
      </c>
      <c r="H529" s="89">
        <f t="shared" si="37"/>
        <v>120755.17</v>
      </c>
      <c r="I529" s="89">
        <f t="shared" si="37"/>
        <v>373.51</v>
      </c>
      <c r="J529" s="89">
        <f t="shared" si="37"/>
        <v>0</v>
      </c>
      <c r="K529" s="89">
        <f t="shared" si="37"/>
        <v>0</v>
      </c>
      <c r="L529" s="89">
        <f t="shared" si="37"/>
        <v>139267.42000000001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12676.64</v>
      </c>
      <c r="G531" s="18">
        <v>5217.8599999999997</v>
      </c>
      <c r="H531" s="18">
        <v>239.93</v>
      </c>
      <c r="I531" s="18"/>
      <c r="J531" s="18"/>
      <c r="K531" s="18"/>
      <c r="L531" s="88">
        <f>SUM(F531:K531)</f>
        <v>18134.43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12676.64</v>
      </c>
      <c r="G534" s="89">
        <f t="shared" ref="G534:L534" si="38">SUM(G531:G533)</f>
        <v>5217.8599999999997</v>
      </c>
      <c r="H534" s="89">
        <f t="shared" si="38"/>
        <v>239.93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18134.43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20655.82</v>
      </c>
      <c r="I541" s="18"/>
      <c r="J541" s="18"/>
      <c r="K541" s="18"/>
      <c r="L541" s="88">
        <f>SUM(F541:K541)</f>
        <v>20655.82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20655.82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20655.82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418074.35000000003</v>
      </c>
      <c r="G545" s="89">
        <f t="shared" ref="G545:L545" si="41">G524+G529+G534+G539+G544</f>
        <v>165679.39999999997</v>
      </c>
      <c r="H545" s="89">
        <f t="shared" si="41"/>
        <v>223638.91999999998</v>
      </c>
      <c r="I545" s="89">
        <f t="shared" si="41"/>
        <v>2869.42</v>
      </c>
      <c r="J545" s="89">
        <f t="shared" si="41"/>
        <v>4949.45</v>
      </c>
      <c r="K545" s="89">
        <f t="shared" si="41"/>
        <v>0</v>
      </c>
      <c r="L545" s="89">
        <f t="shared" si="41"/>
        <v>815211.54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637153.87</v>
      </c>
      <c r="G549" s="87">
        <f>L526</f>
        <v>139267.42000000001</v>
      </c>
      <c r="H549" s="87">
        <f>L531</f>
        <v>18134.43</v>
      </c>
      <c r="I549" s="87">
        <f>L536</f>
        <v>0</v>
      </c>
      <c r="J549" s="87">
        <f>L541</f>
        <v>20655.82</v>
      </c>
      <c r="K549" s="87">
        <f>SUM(F549:J549)</f>
        <v>815211.54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637153.87</v>
      </c>
      <c r="G552" s="89">
        <f t="shared" si="42"/>
        <v>139267.42000000001</v>
      </c>
      <c r="H552" s="89">
        <f t="shared" si="42"/>
        <v>18134.43</v>
      </c>
      <c r="I552" s="89">
        <f t="shared" si="42"/>
        <v>0</v>
      </c>
      <c r="J552" s="89">
        <f t="shared" si="42"/>
        <v>20655.82</v>
      </c>
      <c r="K552" s="89">
        <f t="shared" si="42"/>
        <v>815211.54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30596.560000000001</v>
      </c>
      <c r="G579" s="18"/>
      <c r="H579" s="18"/>
      <c r="I579" s="87">
        <f t="shared" si="47"/>
        <v>30596.560000000001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14594.01</v>
      </c>
      <c r="G583" s="18"/>
      <c r="H583" s="18"/>
      <c r="I583" s="87">
        <f t="shared" si="47"/>
        <v>14594.01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106890</v>
      </c>
      <c r="I591" s="18"/>
      <c r="J591" s="18"/>
      <c r="K591" s="104">
        <f t="shared" ref="K591:K597" si="48">SUM(H591:J591)</f>
        <v>106890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20655.82</v>
      </c>
      <c r="I592" s="18"/>
      <c r="J592" s="18"/>
      <c r="K592" s="104">
        <f t="shared" si="48"/>
        <v>20655.82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6555</v>
      </c>
      <c r="I594" s="18"/>
      <c r="J594" s="18"/>
      <c r="K594" s="104">
        <f t="shared" si="48"/>
        <v>6555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8380</v>
      </c>
      <c r="I595" s="18"/>
      <c r="J595" s="18"/>
      <c r="K595" s="104">
        <f t="shared" si="48"/>
        <v>8380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142480.82</v>
      </c>
      <c r="I598" s="108">
        <f>SUM(I591:I597)</f>
        <v>0</v>
      </c>
      <c r="J598" s="108">
        <f>SUM(J591:J597)</f>
        <v>0</v>
      </c>
      <c r="K598" s="108">
        <f>SUM(K591:K597)</f>
        <v>142480.82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42913.98</v>
      </c>
      <c r="I604" s="18"/>
      <c r="J604" s="18"/>
      <c r="K604" s="104">
        <f>SUM(H604:J604)</f>
        <v>42913.98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42913.98</v>
      </c>
      <c r="I605" s="108">
        <f>SUM(I602:I604)</f>
        <v>0</v>
      </c>
      <c r="J605" s="108">
        <f>SUM(J602:J604)</f>
        <v>0</v>
      </c>
      <c r="K605" s="108">
        <f>SUM(K602:K604)</f>
        <v>42913.98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221986.16</v>
      </c>
      <c r="H617" s="109">
        <f>SUM(F52)</f>
        <v>221986.15999999997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1163.75</v>
      </c>
      <c r="H618" s="109">
        <f>SUM(G52)</f>
        <v>1163.75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4974.0799999999981</v>
      </c>
      <c r="H619" s="109">
        <f>SUM(H52)</f>
        <v>4974.08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1079.49</v>
      </c>
      <c r="H621" s="109">
        <f>SUM(J52)</f>
        <v>1079.49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193029.72999999998</v>
      </c>
      <c r="H622" s="109">
        <f>F476</f>
        <v>193029.72999999998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3756.8</v>
      </c>
      <c r="H624" s="109">
        <f>H476</f>
        <v>3756.8000000000029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1079.49</v>
      </c>
      <c r="H626" s="109">
        <f>J476</f>
        <v>1079.49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4047141.44</v>
      </c>
      <c r="H627" s="104">
        <f>SUM(F468)</f>
        <v>4047141.44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113994.74</v>
      </c>
      <c r="H628" s="104">
        <f>SUM(G468)</f>
        <v>113994.74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89636.44</v>
      </c>
      <c r="H629" s="104">
        <f>SUM(H468)</f>
        <v>89636.44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3.33</v>
      </c>
      <c r="H631" s="104">
        <f>SUM(J468)</f>
        <v>3.33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4011514.1399999992</v>
      </c>
      <c r="H632" s="104">
        <f>SUM(F472)</f>
        <v>4011514.14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89636.440000000017</v>
      </c>
      <c r="H633" s="104">
        <f>SUM(H472)</f>
        <v>89636.44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42118.79</v>
      </c>
      <c r="H634" s="104">
        <f>I369</f>
        <v>42118.79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113994.74</v>
      </c>
      <c r="H635" s="104">
        <f>SUM(G472)</f>
        <v>113994.74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3.33</v>
      </c>
      <c r="H637" s="164">
        <f>SUM(J468)</f>
        <v>3.33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66.81</v>
      </c>
      <c r="H638" s="164">
        <f>SUM(J472)</f>
        <v>66.81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1079.49</v>
      </c>
      <c r="H639" s="104">
        <f>SUM(F461)</f>
        <v>1079.49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1079.49</v>
      </c>
      <c r="H642" s="104">
        <f>SUM(I461)</f>
        <v>1079.49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3.33</v>
      </c>
      <c r="H644" s="104">
        <f>H408</f>
        <v>3.33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3.33</v>
      </c>
      <c r="H646" s="104">
        <f>L408</f>
        <v>3.33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142480.82</v>
      </c>
      <c r="H647" s="104">
        <f>L208+L226+L244</f>
        <v>142480.82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42913.98</v>
      </c>
      <c r="H648" s="104">
        <f>(J257+J338)-(J255+J336)</f>
        <v>42913.98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142480.82</v>
      </c>
      <c r="H649" s="104">
        <f>H598</f>
        <v>142480.82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39997.199999999997</v>
      </c>
      <c r="H652" s="104">
        <f>K263+K345</f>
        <v>39997.199999999997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3882503.6599999992</v>
      </c>
      <c r="G660" s="19">
        <f>(L229+L309+L359)</f>
        <v>0</v>
      </c>
      <c r="H660" s="19">
        <f>(L247+L328+L360)</f>
        <v>0</v>
      </c>
      <c r="I660" s="19">
        <f>SUM(F660:H660)</f>
        <v>3882503.6599999992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18594.05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18594.05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142480.82</v>
      </c>
      <c r="G662" s="19">
        <f>(L226+L306)-(J226+J306)</f>
        <v>0</v>
      </c>
      <c r="H662" s="19">
        <f>(L244+L325)-(J244+J325)</f>
        <v>0</v>
      </c>
      <c r="I662" s="19">
        <f>SUM(F662:H662)</f>
        <v>142480.82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88104.55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88104.55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3633324.2399999993</v>
      </c>
      <c r="G664" s="19">
        <f>G660-SUM(G661:G663)</f>
        <v>0</v>
      </c>
      <c r="H664" s="19">
        <f>H660-SUM(H661:H663)</f>
        <v>0</v>
      </c>
      <c r="I664" s="19">
        <f>I660-SUM(I661:I663)</f>
        <v>3633324.2399999993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202.22</v>
      </c>
      <c r="G665" s="248"/>
      <c r="H665" s="248"/>
      <c r="I665" s="19">
        <f>SUM(F665:H665)</f>
        <v>202.22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17967.189999999999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17967.189999999999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17967.189999999999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17967.189999999999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THORNTON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1170994.67</v>
      </c>
      <c r="C9" s="229">
        <f>'DOE25'!G197+'DOE25'!G215+'DOE25'!G233+'DOE25'!G276+'DOE25'!G295+'DOE25'!G314</f>
        <v>496449.69</v>
      </c>
    </row>
    <row r="10" spans="1:3" x14ac:dyDescent="0.2">
      <c r="A10" t="s">
        <v>779</v>
      </c>
      <c r="B10" s="240">
        <v>1141514.67</v>
      </c>
      <c r="C10" s="240">
        <v>493995.8</v>
      </c>
    </row>
    <row r="11" spans="1:3" x14ac:dyDescent="0.2">
      <c r="A11" t="s">
        <v>780</v>
      </c>
      <c r="B11" s="240"/>
      <c r="C11" s="240">
        <v>2453.89</v>
      </c>
    </row>
    <row r="12" spans="1:3" x14ac:dyDescent="0.2">
      <c r="A12" t="s">
        <v>781</v>
      </c>
      <c r="B12" s="240">
        <v>29480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1170994.67</v>
      </c>
      <c r="C13" s="231">
        <f>SUM(C10:C12)</f>
        <v>496449.69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390859.65</v>
      </c>
      <c r="C18" s="229">
        <f>'DOE25'!G198+'DOE25'!G216+'DOE25'!G234+'DOE25'!G277+'DOE25'!G296+'DOE25'!G315</f>
        <v>156860.85999999999</v>
      </c>
    </row>
    <row r="19" spans="1:3" x14ac:dyDescent="0.2">
      <c r="A19" t="s">
        <v>779</v>
      </c>
      <c r="B19" s="240">
        <v>135746</v>
      </c>
      <c r="C19" s="240">
        <v>74146.649999999994</v>
      </c>
    </row>
    <row r="20" spans="1:3" x14ac:dyDescent="0.2">
      <c r="A20" t="s">
        <v>780</v>
      </c>
      <c r="B20" s="240">
        <v>229455.9</v>
      </c>
      <c r="C20" s="240">
        <v>69521.94</v>
      </c>
    </row>
    <row r="21" spans="1:3" x14ac:dyDescent="0.2">
      <c r="A21" t="s">
        <v>781</v>
      </c>
      <c r="B21" s="240">
        <v>25657.75</v>
      </c>
      <c r="C21" s="240">
        <v>13192.27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390859.65</v>
      </c>
      <c r="C22" s="231">
        <f>SUM(C19:C21)</f>
        <v>156860.85999999999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37802.269999999997</v>
      </c>
      <c r="C36" s="235">
        <f>'DOE25'!G200+'DOE25'!G218+'DOE25'!G236+'DOE25'!G279+'DOE25'!G298+'DOE25'!G317</f>
        <v>8150.23</v>
      </c>
    </row>
    <row r="37" spans="1:3" x14ac:dyDescent="0.2">
      <c r="A37" t="s">
        <v>779</v>
      </c>
      <c r="B37" s="240">
        <v>37802.269999999997</v>
      </c>
      <c r="C37" s="240">
        <v>8150.23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37802.269999999997</v>
      </c>
      <c r="C40" s="231">
        <f>SUM(C37:C39)</f>
        <v>8150.23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THORNTON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2380212.5999999996</v>
      </c>
      <c r="D5" s="20">
        <f>SUM('DOE25'!L197:L200)+SUM('DOE25'!L215:L218)+SUM('DOE25'!L233:L236)-F5-G5</f>
        <v>2356044.8999999994</v>
      </c>
      <c r="E5" s="243"/>
      <c r="F5" s="255">
        <f>SUM('DOE25'!J197:J200)+SUM('DOE25'!J215:J218)+SUM('DOE25'!J233:J236)</f>
        <v>19988.37</v>
      </c>
      <c r="G5" s="53">
        <f>SUM('DOE25'!K197:K200)+SUM('DOE25'!K215:K218)+SUM('DOE25'!K233:K236)</f>
        <v>4179.33</v>
      </c>
      <c r="H5" s="259"/>
    </row>
    <row r="6" spans="1:9" x14ac:dyDescent="0.2">
      <c r="A6" s="32">
        <v>2100</v>
      </c>
      <c r="B6" t="s">
        <v>801</v>
      </c>
      <c r="C6" s="245">
        <f t="shared" si="0"/>
        <v>294642.40000000002</v>
      </c>
      <c r="D6" s="20">
        <f>'DOE25'!L202+'DOE25'!L220+'DOE25'!L238-F6-G6</f>
        <v>294642.40000000002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84687.4</v>
      </c>
      <c r="D7" s="20">
        <f>'DOE25'!L203+'DOE25'!L221+'DOE25'!L239-F7-G7</f>
        <v>84687.4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87121.54</v>
      </c>
      <c r="D8" s="243"/>
      <c r="E8" s="20">
        <f>'DOE25'!L204+'DOE25'!L222+'DOE25'!L240-F8-G8-D9-D11</f>
        <v>80793.739999999991</v>
      </c>
      <c r="F8" s="255">
        <f>'DOE25'!J204+'DOE25'!J222+'DOE25'!J240</f>
        <v>0</v>
      </c>
      <c r="G8" s="53">
        <f>'DOE25'!K204+'DOE25'!K222+'DOE25'!K240</f>
        <v>6327.8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20955.47</v>
      </c>
      <c r="D9" s="244">
        <v>20955.47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5575</v>
      </c>
      <c r="D10" s="243"/>
      <c r="E10" s="244">
        <v>5575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58292.46</v>
      </c>
      <c r="D11" s="244">
        <v>58292.46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259913.88</v>
      </c>
      <c r="D12" s="20">
        <f>'DOE25'!L205+'DOE25'!L223+'DOE25'!L241-F12-G12</f>
        <v>259163.88</v>
      </c>
      <c r="E12" s="243"/>
      <c r="F12" s="255">
        <f>'DOE25'!J205+'DOE25'!J223+'DOE25'!J241</f>
        <v>0</v>
      </c>
      <c r="G12" s="53">
        <f>'DOE25'!K205+'DOE25'!K223+'DOE25'!K241</f>
        <v>750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397.35</v>
      </c>
      <c r="D13" s="243"/>
      <c r="E13" s="20">
        <f>'DOE25'!L206+'DOE25'!L224+'DOE25'!L242-F13-G13</f>
        <v>397.35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355315.66000000003</v>
      </c>
      <c r="D14" s="20">
        <f>'DOE25'!L207+'DOE25'!L225+'DOE25'!L243-F14-G14</f>
        <v>336697.03</v>
      </c>
      <c r="E14" s="243"/>
      <c r="F14" s="255">
        <f>'DOE25'!J207+'DOE25'!J225+'DOE25'!J243</f>
        <v>18618.63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142480.82</v>
      </c>
      <c r="D15" s="20">
        <f>'DOE25'!L208+'DOE25'!L226+'DOE25'!L244-F15-G15</f>
        <v>142480.82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5147.1000000000004</v>
      </c>
      <c r="D22" s="243"/>
      <c r="E22" s="243"/>
      <c r="F22" s="255">
        <f>'DOE25'!L255+'DOE25'!L336</f>
        <v>5147.1000000000004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287497.36</v>
      </c>
      <c r="D25" s="243"/>
      <c r="E25" s="243"/>
      <c r="F25" s="258"/>
      <c r="G25" s="256"/>
      <c r="H25" s="257">
        <f>'DOE25'!L260+'DOE25'!L261+'DOE25'!L341+'DOE25'!L342</f>
        <v>287497.36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72690.930000000008</v>
      </c>
      <c r="D29" s="20">
        <f>'DOE25'!L358+'DOE25'!L359+'DOE25'!L360-'DOE25'!I367-F29-G29</f>
        <v>71176.63</v>
      </c>
      <c r="E29" s="243"/>
      <c r="F29" s="255">
        <f>'DOE25'!J358+'DOE25'!J359+'DOE25'!J360</f>
        <v>0</v>
      </c>
      <c r="G29" s="53">
        <f>'DOE25'!K358+'DOE25'!K359+'DOE25'!K360</f>
        <v>1514.3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84489.340000000011</v>
      </c>
      <c r="D31" s="20">
        <f>'DOE25'!L290+'DOE25'!L309+'DOE25'!L328+'DOE25'!L333+'DOE25'!L334+'DOE25'!L335-F31-G31</f>
        <v>78722.340000000011</v>
      </c>
      <c r="E31" s="243"/>
      <c r="F31" s="255">
        <f>'DOE25'!J290+'DOE25'!J309+'DOE25'!J328+'DOE25'!J333+'DOE25'!J334+'DOE25'!J335</f>
        <v>4306.9799999999996</v>
      </c>
      <c r="G31" s="53">
        <f>'DOE25'!K290+'DOE25'!K309+'DOE25'!K328+'DOE25'!K333+'DOE25'!K334+'DOE25'!K335</f>
        <v>1460.02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3702863.3299999987</v>
      </c>
      <c r="E33" s="246">
        <f>SUM(E5:E31)</f>
        <v>86766.09</v>
      </c>
      <c r="F33" s="246">
        <f>SUM(F5:F31)</f>
        <v>48061.08</v>
      </c>
      <c r="G33" s="246">
        <f>SUM(G5:G31)</f>
        <v>14231.45</v>
      </c>
      <c r="H33" s="246">
        <f>SUM(H5:H31)</f>
        <v>287497.36</v>
      </c>
    </row>
    <row r="35" spans="2:8" ht="12" thickBot="1" x14ac:dyDescent="0.25">
      <c r="B35" s="253" t="s">
        <v>847</v>
      </c>
      <c r="D35" s="254">
        <f>E33</f>
        <v>86766.09</v>
      </c>
      <c r="E35" s="249"/>
    </row>
    <row r="36" spans="2:8" ht="12" thickTop="1" x14ac:dyDescent="0.2">
      <c r="B36" t="s">
        <v>815</v>
      </c>
      <c r="D36" s="20">
        <f>D33</f>
        <v>3702863.3299999987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THORNTON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213761.35</v>
      </c>
      <c r="D8" s="95">
        <f>'DOE25'!G9</f>
        <v>-13714.86</v>
      </c>
      <c r="E8" s="95">
        <f>'DOE25'!H9</f>
        <v>-13522.59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1079.49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4877.87</v>
      </c>
      <c r="D12" s="95">
        <f>'DOE25'!G13</f>
        <v>14878.61</v>
      </c>
      <c r="E12" s="95">
        <f>'DOE25'!H13</f>
        <v>18496.669999999998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3346.94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221986.16</v>
      </c>
      <c r="D18" s="41">
        <f>SUM(D8:D17)</f>
        <v>1163.75</v>
      </c>
      <c r="E18" s="41">
        <f>SUM(E8:E17)</f>
        <v>4974.0799999999981</v>
      </c>
      <c r="F18" s="41">
        <f>SUM(F8:F17)</f>
        <v>0</v>
      </c>
      <c r="G18" s="41">
        <f>SUM(G8:G17)</f>
        <v>1079.49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28956.43</v>
      </c>
      <c r="D23" s="95">
        <f>'DOE25'!G24</f>
        <v>42.81</v>
      </c>
      <c r="E23" s="95">
        <f>'DOE25'!H24</f>
        <v>1217.28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1120.94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28956.43</v>
      </c>
      <c r="D31" s="41">
        <f>SUM(D21:D30)</f>
        <v>1163.75</v>
      </c>
      <c r="E31" s="41">
        <f>SUM(E21:E30)</f>
        <v>1217.28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114780.2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3756.8</v>
      </c>
      <c r="F47" s="95">
        <f>'DOE25'!I48</f>
        <v>0</v>
      </c>
      <c r="G47" s="95">
        <f>'DOE25'!J48</f>
        <v>1079.49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78249.53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193029.72999999998</v>
      </c>
      <c r="D50" s="41">
        <f>SUM(D34:D49)</f>
        <v>0</v>
      </c>
      <c r="E50" s="41">
        <f>SUM(E34:E49)</f>
        <v>3756.8</v>
      </c>
      <c r="F50" s="41">
        <f>SUM(F34:F49)</f>
        <v>0</v>
      </c>
      <c r="G50" s="41">
        <f>SUM(G34:G49)</f>
        <v>1079.49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221986.15999999997</v>
      </c>
      <c r="D51" s="41">
        <f>D50+D31</f>
        <v>1163.75</v>
      </c>
      <c r="E51" s="41">
        <f>E50+E31</f>
        <v>4974.08</v>
      </c>
      <c r="F51" s="41">
        <f>F50+F31</f>
        <v>0</v>
      </c>
      <c r="G51" s="41">
        <f>G50+G31</f>
        <v>1079.49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2843885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182.28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3.33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18594.05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24832.19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25014.469999999998</v>
      </c>
      <c r="D62" s="130">
        <f>SUM(D57:D61)</f>
        <v>18594.05</v>
      </c>
      <c r="E62" s="130">
        <f>SUM(E57:E61)</f>
        <v>0</v>
      </c>
      <c r="F62" s="130">
        <f>SUM(F57:F61)</f>
        <v>0</v>
      </c>
      <c r="G62" s="130">
        <f>SUM(G57:G61)</f>
        <v>3.33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2868899.47</v>
      </c>
      <c r="D63" s="22">
        <f>D56+D62</f>
        <v>18594.05</v>
      </c>
      <c r="E63" s="22">
        <f>E56+E62</f>
        <v>0</v>
      </c>
      <c r="F63" s="22">
        <f>F56+F62</f>
        <v>0</v>
      </c>
      <c r="G63" s="22">
        <f>G56+G62</f>
        <v>3.33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428452.86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598082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1026534.86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100909.1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807.91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100909.1</v>
      </c>
      <c r="D78" s="130">
        <f>SUM(D72:D77)</f>
        <v>807.91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1127443.96</v>
      </c>
      <c r="D81" s="130">
        <f>SUM(D79:D80)+D78+D70</f>
        <v>807.91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41995.23</v>
      </c>
      <c r="D88" s="95">
        <f>SUM('DOE25'!G153:G161)</f>
        <v>54595.58</v>
      </c>
      <c r="E88" s="95">
        <f>SUM('DOE25'!H153:H161)</f>
        <v>89636.44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8802.7800000000007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50798.01</v>
      </c>
      <c r="D91" s="131">
        <f>SUM(D85:D90)</f>
        <v>54595.58</v>
      </c>
      <c r="E91" s="131">
        <f>SUM(E85:E90)</f>
        <v>89636.44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39997.199999999997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39997.199999999997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4047141.44</v>
      </c>
      <c r="D104" s="86">
        <f>D63+D81+D91+D103</f>
        <v>113994.74</v>
      </c>
      <c r="E104" s="86">
        <f>E63+E81+E91+E103</f>
        <v>89636.44</v>
      </c>
      <c r="F104" s="86">
        <f>F63+F81+F91+F103</f>
        <v>0</v>
      </c>
      <c r="G104" s="86">
        <f>G63+G81+G103</f>
        <v>3.33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1684855.3599999999</v>
      </c>
      <c r="D109" s="24" t="s">
        <v>289</v>
      </c>
      <c r="E109" s="95">
        <f>('DOE25'!L276)+('DOE25'!L295)+('DOE25'!L314)</f>
        <v>68119.89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636785.63</v>
      </c>
      <c r="D110" s="24" t="s">
        <v>289</v>
      </c>
      <c r="E110" s="95">
        <f>('DOE25'!L277)+('DOE25'!L296)+('DOE25'!L315)</f>
        <v>368.24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58571.61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2380212.5999999996</v>
      </c>
      <c r="D115" s="86">
        <f>SUM(D109:D114)</f>
        <v>0</v>
      </c>
      <c r="E115" s="86">
        <f>SUM(E109:E114)</f>
        <v>68488.13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294642.40000000002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84687.4</v>
      </c>
      <c r="D119" s="24" t="s">
        <v>289</v>
      </c>
      <c r="E119" s="95">
        <f>+('DOE25'!L282)+('DOE25'!L301)+('DOE25'!L320)</f>
        <v>11086.06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166369.46999999997</v>
      </c>
      <c r="D120" s="24" t="s">
        <v>289</v>
      </c>
      <c r="E120" s="95">
        <f>+('DOE25'!L283)+('DOE25'!L302)+('DOE25'!L321)</f>
        <v>3455.13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259913.88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397.35</v>
      </c>
      <c r="D122" s="24" t="s">
        <v>289</v>
      </c>
      <c r="E122" s="95">
        <f>+('DOE25'!L285)+('DOE25'!L304)+('DOE25'!L323)</f>
        <v>1460.02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355315.66000000003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142480.82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113994.74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1303806.9800000002</v>
      </c>
      <c r="D128" s="86">
        <f>SUM(D118:D127)</f>
        <v>113994.74</v>
      </c>
      <c r="E128" s="86">
        <f>SUM(E118:E127)</f>
        <v>16001.21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5147.1000000000004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277400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10097.36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39997.199999999997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3.33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-3.33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327494.56</v>
      </c>
      <c r="D144" s="141">
        <f>SUM(D130:D143)</f>
        <v>0</v>
      </c>
      <c r="E144" s="141">
        <f>SUM(E130:E143)</f>
        <v>5147.1000000000004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4011514.14</v>
      </c>
      <c r="D145" s="86">
        <f>(D115+D128+D144)</f>
        <v>113994.74</v>
      </c>
      <c r="E145" s="86">
        <f>(E115+E128+E144)</f>
        <v>89636.44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1387000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554800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554800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277400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277400</v>
      </c>
    </row>
    <row r="159" spans="1:9" x14ac:dyDescent="0.2">
      <c r="A159" s="22" t="s">
        <v>35</v>
      </c>
      <c r="B159" s="137">
        <f>'DOE25'!F498</f>
        <v>277400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277400</v>
      </c>
    </row>
    <row r="160" spans="1:9" x14ac:dyDescent="0.2">
      <c r="A160" s="22" t="s">
        <v>36</v>
      </c>
      <c r="B160" s="137">
        <f>'DOE25'!F499</f>
        <v>3347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3347</v>
      </c>
    </row>
    <row r="161" spans="1:7" x14ac:dyDescent="0.2">
      <c r="A161" s="22" t="s">
        <v>37</v>
      </c>
      <c r="B161" s="137">
        <f>'DOE25'!F500</f>
        <v>280747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280747</v>
      </c>
    </row>
    <row r="162" spans="1:7" x14ac:dyDescent="0.2">
      <c r="A162" s="22" t="s">
        <v>38</v>
      </c>
      <c r="B162" s="137">
        <f>'DOE25'!F501</f>
        <v>277400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277400</v>
      </c>
    </row>
    <row r="163" spans="1:7" x14ac:dyDescent="0.2">
      <c r="A163" s="22" t="s">
        <v>39</v>
      </c>
      <c r="B163" s="137">
        <f>'DOE25'!F502</f>
        <v>3347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3347</v>
      </c>
    </row>
    <row r="164" spans="1:7" x14ac:dyDescent="0.2">
      <c r="A164" s="22" t="s">
        <v>246</v>
      </c>
      <c r="B164" s="137">
        <f>'DOE25'!F503</f>
        <v>280747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280747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THORNTON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17967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17967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1752975</v>
      </c>
      <c r="D10" s="182">
        <f>ROUND((C10/$C$28)*100,1)</f>
        <v>45.2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637154</v>
      </c>
      <c r="D11" s="182">
        <f>ROUND((C11/$C$28)*100,1)</f>
        <v>16.399999999999999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58572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294642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95773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169825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259914</v>
      </c>
      <c r="D18" s="182">
        <f t="shared" si="0"/>
        <v>6.7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1857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355316</v>
      </c>
      <c r="D20" s="182">
        <f t="shared" si="0"/>
        <v>9.1999999999999993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142481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10097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95400.95</v>
      </c>
      <c r="D27" s="182">
        <f t="shared" si="0"/>
        <v>2.5</v>
      </c>
    </row>
    <row r="28" spans="1:4" x14ac:dyDescent="0.2">
      <c r="B28" s="187" t="s">
        <v>723</v>
      </c>
      <c r="C28" s="180">
        <f>SUM(C10:C27)</f>
        <v>3874006.95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5147</v>
      </c>
    </row>
    <row r="30" spans="1:4" x14ac:dyDescent="0.2">
      <c r="B30" s="187" t="s">
        <v>729</v>
      </c>
      <c r="C30" s="180">
        <f>SUM(C28:C29)</f>
        <v>3879153.95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277400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2843885</v>
      </c>
      <c r="D35" s="182">
        <f t="shared" ref="D35:D40" si="1">ROUND((C35/$C$41)*100,1)</f>
        <v>67.8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25017.800000000279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1026535</v>
      </c>
      <c r="D37" s="182">
        <f t="shared" si="1"/>
        <v>24.5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101717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195030</v>
      </c>
      <c r="D39" s="182">
        <f t="shared" si="1"/>
        <v>4.7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4192184.8000000003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THORNTON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2015-08-12T15:09:18Z</cp:lastPrinted>
  <dcterms:created xsi:type="dcterms:W3CDTF">1997-12-04T19:04:30Z</dcterms:created>
  <dcterms:modified xsi:type="dcterms:W3CDTF">2015-08-25T19:11:16Z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