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18" i="12" l="1"/>
  <c r="B18" i="12"/>
  <c r="C9" i="12"/>
  <c r="B9" i="12"/>
  <c r="G97" i="1" l="1"/>
  <c r="H473" i="1" l="1"/>
  <c r="F24" i="1"/>
  <c r="H569" i="1"/>
  <c r="I568" i="1"/>
  <c r="H110" i="1"/>
  <c r="F57" i="1" l="1"/>
  <c r="H22" i="1" l="1"/>
  <c r="H48" i="1"/>
  <c r="H30" i="1"/>
  <c r="H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G651" i="1" s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9" i="1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A13" i="12" s="1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L250" i="1"/>
  <c r="L332" i="1"/>
  <c r="L254" i="1"/>
  <c r="C25" i="10"/>
  <c r="L268" i="1"/>
  <c r="L269" i="1"/>
  <c r="L349" i="1"/>
  <c r="L350" i="1"/>
  <c r="I665" i="1"/>
  <c r="I670" i="1"/>
  <c r="F661" i="1"/>
  <c r="H661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C111" i="2"/>
  <c r="E111" i="2"/>
  <c r="C113" i="2"/>
  <c r="E113" i="2"/>
  <c r="E114" i="2"/>
  <c r="D115" i="2"/>
  <c r="F115" i="2"/>
  <c r="G115" i="2"/>
  <c r="E118" i="2"/>
  <c r="E119" i="2"/>
  <c r="C120" i="2"/>
  <c r="E120" i="2"/>
  <c r="E121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H645" i="1"/>
  <c r="G652" i="1"/>
  <c r="H652" i="1"/>
  <c r="G653" i="1"/>
  <c r="H653" i="1"/>
  <c r="G654" i="1"/>
  <c r="H654" i="1"/>
  <c r="H655" i="1"/>
  <c r="F192" i="1"/>
  <c r="G164" i="2"/>
  <c r="C18" i="2"/>
  <c r="C26" i="10"/>
  <c r="L351" i="1"/>
  <c r="A31" i="12"/>
  <c r="C70" i="2"/>
  <c r="A40" i="12"/>
  <c r="D18" i="13"/>
  <c r="C18" i="13" s="1"/>
  <c r="C91" i="2"/>
  <c r="F78" i="2"/>
  <c r="F81" i="2" s="1"/>
  <c r="C78" i="2"/>
  <c r="C81" i="2" s="1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J644" i="1"/>
  <c r="J643" i="1"/>
  <c r="J476" i="1"/>
  <c r="H626" i="1" s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G22" i="2"/>
  <c r="K598" i="1"/>
  <c r="G647" i="1" s="1"/>
  <c r="J552" i="1"/>
  <c r="C29" i="10"/>
  <c r="H140" i="1"/>
  <c r="L401" i="1"/>
  <c r="C139" i="2" s="1"/>
  <c r="L393" i="1"/>
  <c r="F22" i="13"/>
  <c r="C22" i="13" s="1"/>
  <c r="H25" i="13"/>
  <c r="C25" i="13" s="1"/>
  <c r="H571" i="1"/>
  <c r="L560" i="1"/>
  <c r="J545" i="1"/>
  <c r="H338" i="1"/>
  <c r="H352" i="1" s="1"/>
  <c r="F338" i="1"/>
  <c r="F352" i="1" s="1"/>
  <c r="G192" i="1"/>
  <c r="H192" i="1"/>
  <c r="F552" i="1"/>
  <c r="C35" i="10"/>
  <c r="J655" i="1"/>
  <c r="J645" i="1"/>
  <c r="I571" i="1"/>
  <c r="J636" i="1"/>
  <c r="G36" i="2"/>
  <c r="L565" i="1"/>
  <c r="C138" i="2"/>
  <c r="H33" i="13"/>
  <c r="H476" i="1" l="1"/>
  <c r="H624" i="1" s="1"/>
  <c r="L614" i="1"/>
  <c r="J651" i="1"/>
  <c r="J649" i="1"/>
  <c r="L570" i="1"/>
  <c r="K549" i="1"/>
  <c r="L544" i="1"/>
  <c r="I552" i="1"/>
  <c r="K551" i="1"/>
  <c r="L539" i="1"/>
  <c r="I545" i="1"/>
  <c r="H545" i="1"/>
  <c r="G545" i="1"/>
  <c r="H552" i="1"/>
  <c r="L534" i="1"/>
  <c r="G552" i="1"/>
  <c r="K550" i="1"/>
  <c r="K552" i="1" s="1"/>
  <c r="L529" i="1"/>
  <c r="J634" i="1"/>
  <c r="G661" i="1"/>
  <c r="L362" i="1"/>
  <c r="C27" i="10" s="1"/>
  <c r="I661" i="1"/>
  <c r="G338" i="1"/>
  <c r="G352" i="1" s="1"/>
  <c r="E112" i="2"/>
  <c r="D62" i="2"/>
  <c r="D63" i="2" s="1"/>
  <c r="D50" i="2"/>
  <c r="D31" i="2"/>
  <c r="L328" i="1"/>
  <c r="C20" i="10"/>
  <c r="E110" i="2"/>
  <c r="E109" i="2"/>
  <c r="E128" i="2"/>
  <c r="C16" i="10"/>
  <c r="L290" i="1"/>
  <c r="L256" i="1"/>
  <c r="C114" i="2"/>
  <c r="H662" i="1"/>
  <c r="C17" i="10"/>
  <c r="C21" i="10"/>
  <c r="C123" i="2"/>
  <c r="L247" i="1"/>
  <c r="D14" i="13"/>
  <c r="C14" i="13" s="1"/>
  <c r="D15" i="13"/>
  <c r="C15" i="13" s="1"/>
  <c r="G650" i="1"/>
  <c r="H647" i="1"/>
  <c r="J647" i="1" s="1"/>
  <c r="G662" i="1"/>
  <c r="C19" i="10"/>
  <c r="C18" i="10"/>
  <c r="K257" i="1"/>
  <c r="K271" i="1" s="1"/>
  <c r="C15" i="10"/>
  <c r="G257" i="1"/>
  <c r="G271" i="1" s="1"/>
  <c r="D6" i="13"/>
  <c r="C6" i="13" s="1"/>
  <c r="C13" i="10"/>
  <c r="F257" i="1"/>
  <c r="F271" i="1" s="1"/>
  <c r="L229" i="1"/>
  <c r="G660" i="1" s="1"/>
  <c r="J257" i="1"/>
  <c r="J271" i="1" s="1"/>
  <c r="H257" i="1"/>
  <c r="H271" i="1" s="1"/>
  <c r="I257" i="1"/>
  <c r="I271" i="1" s="1"/>
  <c r="C10" i="10"/>
  <c r="C125" i="2"/>
  <c r="E16" i="13"/>
  <c r="C16" i="13" s="1"/>
  <c r="C124" i="2"/>
  <c r="E13" i="13"/>
  <c r="C13" i="13" s="1"/>
  <c r="C121" i="2"/>
  <c r="D12" i="13"/>
  <c r="C12" i="13" s="1"/>
  <c r="E8" i="13"/>
  <c r="C8" i="13" s="1"/>
  <c r="D7" i="13"/>
  <c r="C7" i="13" s="1"/>
  <c r="C119" i="2"/>
  <c r="C112" i="2"/>
  <c r="D5" i="13"/>
  <c r="C5" i="13" s="1"/>
  <c r="C109" i="2"/>
  <c r="L211" i="1"/>
  <c r="C62" i="2"/>
  <c r="C63" i="2" s="1"/>
  <c r="C104" i="2" s="1"/>
  <c r="J640" i="1"/>
  <c r="I446" i="1"/>
  <c r="G642" i="1" s="1"/>
  <c r="J642" i="1" s="1"/>
  <c r="J639" i="1"/>
  <c r="I460" i="1"/>
  <c r="I461" i="1" s="1"/>
  <c r="H642" i="1" s="1"/>
  <c r="J624" i="1"/>
  <c r="E31" i="2"/>
  <c r="H52" i="1"/>
  <c r="H619" i="1" s="1"/>
  <c r="J619" i="1" s="1"/>
  <c r="D18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G18" i="2" s="1"/>
  <c r="J19" i="1"/>
  <c r="G621" i="1" s="1"/>
  <c r="F33" i="13"/>
  <c r="F545" i="1"/>
  <c r="H434" i="1"/>
  <c r="J620" i="1"/>
  <c r="D103" i="2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I663" i="1"/>
  <c r="G635" i="1"/>
  <c r="J635" i="1" s="1"/>
  <c r="L545" i="1" l="1"/>
  <c r="L338" i="1"/>
  <c r="L352" i="1" s="1"/>
  <c r="G633" i="1" s="1"/>
  <c r="J633" i="1" s="1"/>
  <c r="H660" i="1"/>
  <c r="H664" i="1" s="1"/>
  <c r="H667" i="1" s="1"/>
  <c r="D104" i="2"/>
  <c r="I662" i="1"/>
  <c r="E115" i="2"/>
  <c r="E145" i="2" s="1"/>
  <c r="D31" i="13"/>
  <c r="C31" i="13" s="1"/>
  <c r="G664" i="1"/>
  <c r="G667" i="1" s="1"/>
  <c r="L257" i="1"/>
  <c r="L271" i="1" s="1"/>
  <c r="G632" i="1" s="1"/>
  <c r="J632" i="1" s="1"/>
  <c r="C28" i="10"/>
  <c r="D22" i="10" s="1"/>
  <c r="C128" i="2"/>
  <c r="E33" i="13"/>
  <c r="D35" i="13" s="1"/>
  <c r="F660" i="1"/>
  <c r="F664" i="1" s="1"/>
  <c r="F672" i="1" s="1"/>
  <c r="C4" i="10" s="1"/>
  <c r="C115" i="2"/>
  <c r="E51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72" i="1"/>
  <c r="C6" i="10" s="1"/>
  <c r="D33" i="13"/>
  <c r="D36" i="13" s="1"/>
  <c r="D12" i="10"/>
  <c r="D27" i="10"/>
  <c r="D24" i="10"/>
  <c r="D18" i="10"/>
  <c r="D17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C145" i="2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<sst xmlns="http://schemas.openxmlformats.org/spreadsheetml/2006/main" count="3959" uniqueCount="917">
  <si>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</si>
  <si>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</si>
  <si>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</si>
  <si>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</si>
  <si>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</si>
  <si>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</si>
  <si>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</si>
  <si>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</si>
  <si>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</si>
  <si>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</si>
  <si>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</si>
  <si>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</si>
  <si>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</si>
  <si>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</si>
  <si>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</si>
  <si>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</si>
  <si>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</si>
  <si>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</si>
  <si>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</si>
  <si>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</si>
  <si>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</si>
  <si>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</si>
  <si>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</si>
  <si>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</si>
  <si>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</si>
  <si>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</si>
  <si>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</si>
  <si>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</si>
  <si>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</si>
  <si>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</si>
  <si>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</si>
  <si>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</si>
  <si>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</si>
  <si>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</si>
  <si>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</si>
  <si>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</si>
  <si>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</si>
  <si>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</si>
  <si>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</si>
  <si>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</si>
  <si>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</si>
  <si>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</si>
  <si>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</si>
  <si>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</si>
  <si>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</si>
  <si>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</si>
  <si>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</si>
  <si>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</si>
  <si>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</si>
  <si>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</si>
  <si>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</si>
  <si>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</si>
  <si>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</si>
  <si>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</si>
  <si>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</si>
  <si>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</si>
  <si>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</si>
  <si>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</si>
  <si>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</si>
  <si>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</si>
  <si>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</si>
  <si>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</si>
  <si>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</si>
  <si>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</si>
  <si>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</si>
  <si>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</si>
  <si>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</si>
  <si>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</si>
  <si>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</si>
  <si>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</si>
  <si>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</si>
  <si>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</si>
  <si>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</si>
  <si>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</si>
  <si>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</si>
  <si>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</si>
  <si>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</si>
  <si>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</si>
  <si>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</si>
  <si>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</si>
  <si>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</si>
  <si>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</si>
  <si>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</si>
  <si>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</si>
  <si>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</si>
  <si>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</si>
  <si>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</si>
  <si>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</si>
  <si>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</si>
  <si>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</si>
  <si>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</si>
  <si>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</si>
  <si>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</si>
  <si>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</si>
  <si>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</si>
  <si>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</si>
  <si>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</si>
  <si>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</si>
  <si>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</si>
  <si>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</si>
  <si>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</si>
  <si>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</si>
  <si>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</si>
  <si>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</si>
  <si>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</si>
  <si>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</si>
  <si>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</si>
  <si>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</si>
  <si>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</si>
  <si>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</si>
  <si>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</si>
  <si>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</si>
  <si>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</si>
  <si>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</si>
  <si>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</si>
  <si>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</si>
  <si>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</si>
  <si>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</si>
  <si>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</si>
  <si>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</si>
  <si>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</si>
  <si>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</si>
  <si>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</si>
  <si>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</si>
  <si>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</si>
  <si>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</si>
  <si>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</si>
  <si>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</si>
  <si>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</si>
  <si>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</si>
  <si>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</si>
  <si>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</si>
  <si>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</si>
  <si>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</si>
  <si>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</si>
  <si>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</si>
  <si>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</si>
  <si>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</si>
  <si>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</si>
  <si>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</si>
  <si>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</si>
  <si>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</si>
  <si>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</si>
  <si>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</si>
  <si>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</si>
  <si>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</si>
  <si>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</si>
  <si>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</si>
  <si>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</si>
  <si>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</si>
  <si>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</si>
  <si>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</si>
  <si>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</si>
  <si>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</si>
  <si>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</si>
  <si>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</si>
  <si>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</si>
  <si>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</si>
  <si>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</si>
  <si>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</si>
  <si>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</si>
  <si>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</si>
  <si>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</si>
  <si>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</si>
  <si>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</si>
  <si>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</si>
  <si>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</si>
  <si>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</si>
  <si>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</si>
  <si>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</si>
  <si>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</si>
  <si>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</si>
  <si>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</si>
  <si>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</si>
  <si>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</si>
  <si>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</si>
  <si>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</si>
  <si>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</si>
  <si>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</si>
  <si>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</si>
  <si>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</si>
  <si>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</si>
  <si>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</si>
  <si>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</si>
  <si>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</si>
  <si>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</si>
  <si>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</si>
  <si>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</si>
  <si>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</si>
  <si>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</si>
  <si>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</si>
  <si>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</si>
  <si>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</si>
  <si>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</si>
  <si>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</si>
  <si>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</si>
  <si>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</si>
  <si>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</si>
  <si>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</si>
  <si>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</si>
  <si>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</si>
  <si>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</si>
  <si>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</si>
  <si>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</si>
  <si>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</si>
  <si>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</si>
  <si>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</si>
  <si>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</si>
  <si>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</si>
  <si>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</si>
  <si>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</si>
  <si>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</si>
  <si>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</si>
  <si>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</si>
  <si>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</si>
  <si>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</si>
  <si>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</si>
  <si>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</si>
  <si>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</si>
  <si>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</si>
  <si>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</si>
  <si>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</si>
  <si>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</si>
  <si>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</si>
  <si>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</si>
  <si>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</si>
  <si>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</si>
  <si>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</si>
  <si>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</si>
  <si>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</si>
  <si>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</si>
  <si>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</si>
  <si>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</si>
  <si>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</si>
  <si>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</si>
  <si>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</si>
  <si>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</si>
  <si>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</si>
  <si>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</si>
  <si>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</si>
  <si>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</si>
  <si>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</si>
  <si>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</si>
  <si>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</si>
  <si>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</si>
  <si>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</si>
  <si>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</si>
  <si>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</si>
  <si>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</si>
  <si>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</si>
  <si>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</si>
  <si>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</si>
  <si>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</si>
  <si>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</si>
  <si>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</si>
  <si>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</si>
  <si>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</si>
  <si>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</si>
  <si>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</si>
  <si>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</si>
  <si>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</si>
  <si>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</si>
  <si>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</si>
  <si>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</si>
  <si>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</si>
  <si>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</si>
  <si>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</si>
  <si>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</si>
  <si>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</si>
  <si>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</si>
  <si>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</si>
  <si>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</si>
  <si>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</si>
  <si>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</si>
  <si>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</si>
  <si>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</si>
  <si>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</si>
  <si>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</si>
  <si>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</si>
  <si>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</si>
  <si>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</si>
  <si>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</si>
  <si>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</si>
  <si>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</si>
  <si>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</si>
  <si>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</si>
  <si>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</si>
  <si>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</si>
  <si>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</si>
  <si>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</si>
  <si>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</si>
  <si>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</si>
  <si>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</si>
  <si>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</si>
  <si>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</si>
  <si>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</si>
  <si>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</si>
  <si>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</si>
  <si>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</si>
  <si>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</si>
  <si>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</si>
  <si>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</si>
  <si>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</si>
  <si>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</si>
  <si>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</si>
  <si>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</si>
  <si>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</si>
  <si>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</si>
  <si>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</si>
  <si>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</si>
  <si>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</si>
  <si>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</si>
  <si>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</si>
  <si>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</si>
  <si>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</si>
  <si>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</si>
  <si>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</si>
  <si>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</si>
  <si>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</si>
  <si>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</si>
  <si>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</si>
  <si>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</si>
  <si>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</si>
  <si>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</si>
  <si>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</si>
  <si>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</si>
  <si>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</si>
  <si>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</si>
  <si>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</si>
  <si>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</si>
  <si>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</si>
  <si>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</si>
  <si>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</si>
  <si>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</si>
  <si>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</si>
  <si>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</si>
  <si>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</si>
  <si>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</si>
  <si>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</si>
  <si>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</si>
  <si>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</si>
  <si>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</si>
  <si>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</si>
  <si>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</si>
  <si>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</si>
  <si>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</si>
  <si>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</si>
  <si>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</si>
  <si>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</si>
  <si>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</si>
  <si>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</si>
  <si>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</si>
  <si>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</si>
  <si>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</si>
  <si>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</si>
  <si>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</si>
  <si>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</si>
  <si>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</si>
  <si>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</si>
  <si>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</si>
  <si>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</si>
  <si>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</si>
  <si>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</si>
  <si>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</si>
  <si>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</si>
  <si>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</si>
  <si>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</si>
  <si>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</si>
  <si>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</si>
  <si>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</si>
  <si>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</si>
  <si>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</si>
  <si>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</si>
  <si>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</si>
  <si>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</si>
  <si>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</si>
  <si>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</si>
  <si>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</si>
  <si>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</si>
  <si>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</si>
  <si>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</si>
  <si>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</si>
  <si>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</si>
  <si>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</si>
  <si>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</si>
  <si>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</si>
  <si>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</si>
  <si>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</si>
  <si>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</si>
  <si>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</si>
  <si>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</si>
  <si>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</si>
  <si>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</si>
  <si>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</si>
  <si>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</si>
  <si>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</si>
  <si>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</si>
  <si>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</si>
  <si>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</si>
  <si>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</si>
  <si>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</si>
  <si>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</si>
  <si>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</si>
  <si>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</si>
  <si>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</si>
  <si>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</si>
  <si>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</si>
  <si>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</si>
  <si>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</si>
  <si>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</si>
  <si>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</si>
  <si>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</si>
  <si>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</si>
  <si>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</si>
  <si>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</si>
  <si>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</si>
  <si>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</si>
  <si>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</si>
  <si>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</si>
  <si>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</si>
  <si>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</si>
  <si>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</si>
  <si>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</si>
  <si>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</si>
  <si>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</si>
  <si>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</si>
  <si>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</si>
  <si>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</si>
  <si>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</si>
  <si>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</si>
  <si>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</si>
  <si>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</si>
  <si>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</si>
  <si>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</si>
  <si>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</si>
  <si>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</si>
  <si>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</si>
  <si>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</si>
  <si>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</si>
  <si>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</si>
  <si>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</si>
  <si>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</si>
  <si>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</si>
  <si>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</si>
  <si>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</si>
  <si>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</si>
  <si>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</si>
  <si>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</si>
  <si>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</si>
  <si>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</si>
  <si>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</si>
  <si>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</si>
  <si>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</si>
  <si>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</si>
  <si>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</si>
  <si>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</si>
  <si>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</si>
  <si>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</si>
  <si>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</si>
  <si>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</si>
  <si>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</si>
  <si>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</si>
  <si>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</si>
  <si>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</si>
  <si>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</si>
  <si>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</si>
  <si>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</si>
  <si>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</si>
  <si>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</si>
  <si>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</si>
  <si>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</si>
  <si>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</si>
  <si>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</si>
  <si>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</si>
  <si>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</si>
  <si>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</si>
  <si>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</si>
  <si>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</si>
  <si>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</si>
  <si>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</si>
  <si>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</si>
  <si>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</si>
  <si>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</si>
  <si>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</si>
  <si>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</si>
  <si>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</si>
  <si>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</si>
  <si>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</si>
  <si>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</si>
  <si>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</si>
  <si>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</si>
  <si>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</si>
  <si>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</si>
  <si>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</si>
  <si>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</si>
  <si>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</si>
  <si>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</si>
  <si>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</si>
  <si>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</si>
  <si>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</si>
  <si>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</si>
  <si>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</si>
  <si>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</si>
  <si>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</si>
  <si>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</si>
  <si>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</si>
  <si>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</si>
  <si>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</si>
  <si>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</si>
  <si>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</si>
  <si>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</si>
  <si>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</si>
  <si>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</si>
  <si>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</si>
  <si>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</si>
  <si>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</si>
  <si>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</si>
  <si>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</si>
  <si>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</si>
  <si>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</si>
  <si>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</si>
  <si>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</si>
  <si>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</si>
  <si>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</si>
  <si>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</si>
  <si>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</si>
  <si>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</si>
  <si>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</si>
  <si>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</si>
  <si>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</si>
  <si>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</si>
  <si>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</si>
  <si>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</si>
  <si>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</si>
  <si>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</si>
  <si>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</si>
  <si>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</si>
  <si>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</si>
  <si>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</si>
  <si>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</si>
  <si>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</si>
  <si>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</si>
  <si>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</si>
  <si>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</si>
  <si>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</si>
  <si>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</si>
  <si>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</si>
  <si>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</si>
  <si>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</si>
  <si>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</si>
  <si>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</si>
  <si>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</si>
  <si>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</si>
  <si>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</si>
  <si>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</si>
  <si>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</si>
  <si>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</si>
  <si>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</si>
  <si>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</si>
  <si>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</si>
  <si>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</si>
  <si>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</si>
  <si>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</si>
  <si>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</si>
  <si>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</si>
  <si>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</si>
  <si>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</si>
  <si>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</si>
  <si>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</si>
  <si>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</si>
  <si>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</si>
  <si>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</si>
  <si>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</si>
  <si>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</si>
  <si>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</si>
  <si>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</si>
  <si>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</si>
  <si>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</si>
  <si>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</si>
  <si>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</si>
  <si>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</si>
  <si>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</si>
  <si>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</si>
  <si>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</si>
  <si>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</si>
  <si>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</si>
  <si>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</si>
  <si>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</si>
  <si>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</si>
  <si>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</si>
  <si>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</si>
  <si>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</si>
  <si>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</si>
  <si>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</si>
  <si>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</si>
  <si>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</si>
  <si>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</si>
  <si>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</si>
  <si>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</si>
  <si>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</si>
  <si>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</si>
  <si>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</si>
  <si>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</si>
  <si>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</si>
  <si>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</si>
  <si>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</si>
  <si>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</si>
  <si>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</si>
  <si>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</si>
  <si>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</si>
  <si>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</si>
  <si>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</si>
  <si>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</si>
  <si>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</si>
  <si>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</si>
  <si>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</si>
  <si>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</si>
  <si>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</si>
  <si>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</si>
  <si>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</si>
  <si>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</si>
  <si>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</si>
  <si>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</si>
  <si>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</si>
  <si>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</si>
  <si>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</si>
  <si>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</si>
  <si>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</si>
  <si>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</si>
  <si>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</si>
  <si>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</si>
  <si>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</si>
  <si>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</si>
  <si>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</si>
  <si>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</si>
  <si>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</si>
  <si>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</si>
  <si>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</si>
  <si>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</si>
  <si>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</si>
  <si>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</si>
  <si>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</si>
  <si>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</si>
  <si>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</si>
  <si>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</si>
  <si>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</si>
  <si>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</si>
  <si>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</si>
  <si>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</si>
  <si>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</si>
  <si>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</si>
  <si>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</si>
  <si>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</si>
  <si>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</si>
  <si>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</si>
  <si>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</si>
  <si>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</si>
  <si>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</si>
  <si>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</si>
  <si>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</si>
  <si>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</si>
  <si>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</si>
  <si>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</si>
  <si>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</si>
  <si>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</si>
  <si>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</si>
  <si>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</si>
  <si>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</si>
  <si>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</si>
  <si>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</si>
  <si>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</si>
  <si>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</si>
  <si>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</si>
  <si>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</si>
  <si>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</si>
  <si>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</si>
  <si>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</si>
  <si>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</si>
  <si>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</si>
  <si>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</si>
  <si>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</si>
  <si>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</si>
  <si>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</si>
  <si>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</si>
  <si>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</si>
  <si>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</si>
  <si>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</si>
  <si>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</si>
  <si>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</si>
  <si>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</si>
  <si>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</si>
  <si>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</si>
  <si>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</si>
  <si>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</si>
  <si>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</si>
  <si>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</si>
  <si>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</si>
  <si>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</si>
  <si>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</si>
  <si>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</si>
  <si>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</si>
  <si>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</si>
  <si>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</si>
  <si>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</si>
  <si>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</si>
  <si>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</si>
  <si>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</si>
  <si>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</si>
  <si>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</si>
  <si>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</si>
  <si>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</si>
  <si>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</si>
  <si>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</si>
  <si>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</si>
  <si>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</si>
  <si>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</si>
  <si>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</si>
  <si>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</si>
  <si>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</si>
  <si>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</si>
  <si>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</si>
  <si>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</si>
  <si>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</si>
  <si>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</si>
  <si>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</si>
  <si>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</si>
  <si>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</si>
  <si>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</si>
  <si>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</si>
  <si>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</si>
  <si>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</si>
  <si>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</si>
  <si>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</si>
  <si>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</si>
  <si>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</si>
  <si>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</si>
  <si>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</si>
  <si>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</si>
  <si>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</si>
  <si>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</si>
  <si>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</si>
  <si>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</si>
  <si>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</si>
  <si>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</si>
  <si>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</si>
  <si>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</si>
  <si>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</si>
  <si>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</si>
  <si>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</si>
  <si>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</si>
  <si>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</si>
  <si>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</si>
  <si>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</si>
  <si>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</si>
  <si>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</si>
  <si>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</si>
  <si>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</si>
  <si>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</si>
  <si>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</si>
  <si>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</si>
  <si>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</si>
  <si>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</si>
  <si>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</si>
  <si>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</si>
  <si>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</si>
  <si>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</si>
  <si>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</si>
  <si>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</si>
  <si>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</si>
  <si>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</si>
  <si>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</si>
  <si>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</si>
  <si>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</si>
  <si>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</si>
  <si>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</si>
  <si>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</si>
  <si>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</si>
  <si>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</si>
  <si>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</si>
  <si>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</si>
  <si>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</si>
  <si>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</si>
  <si>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</si>
  <si>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</si>
  <si>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</si>
  <si>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</si>
  <si>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</si>
  <si>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</si>
  <si>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</si>
  <si>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</si>
  <si>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</si>
  <si>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</si>
  <si>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</si>
  <si>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</si>
  <si>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</si>
  <si>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</si>
  <si>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</si>
  <si>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</si>
  <si>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</si>
  <si>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</si>
  <si>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</si>
  <si>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</si>
  <si>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</si>
  <si>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</si>
  <si>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</si>
  <si>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</si>
  <si>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</si>
  <si>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</si>
  <si>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</si>
  <si>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</si>
  <si>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</si>
  <si>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</si>
  <si>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</si>
  <si>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</si>
  <si>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</si>
  <si>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</si>
  <si>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</si>
  <si>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</si>
  <si>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</si>
  <si>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</si>
  <si>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</si>
  <si>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</si>
  <si>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</si>
  <si>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</si>
  <si>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</si>
  <si>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</si>
  <si>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</si>
  <si>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</si>
  <si>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</si>
  <si>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</si>
  <si>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</si>
  <si>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</si>
  <si>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</si>
  <si>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</si>
  <si>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</si>
  <si>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</si>
  <si>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</si>
  <si>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</si>
  <si>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</si>
  <si>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</si>
  <si>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</si>
  <si>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</si>
  <si>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</si>
  <si>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</si>
  <si>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</si>
  <si>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</si>
  <si>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</si>
  <si>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</si>
  <si>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</si>
  <si>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</si>
  <si>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</si>
  <si>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</si>
  <si>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</si>
  <si>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</si>
  <si>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</si>
  <si>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</si>
  <si>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</si>
  <si>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</si>
  <si>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</si>
  <si>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</si>
  <si>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</si>
  <si>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</si>
  <si>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</si>
  <si>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</si>
  <si>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</si>
  <si>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</si>
  <si>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</si>
  <si>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</si>
  <si>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</si>
  <si>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</si>
  <si>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</si>
  <si>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</si>
  <si>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</si>
  <si>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</si>
  <si>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</si>
  <si>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</si>
  <si>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</si>
  <si>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</si>
  <si>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</si>
  <si>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</si>
  <si>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</si>
  <si>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</si>
  <si>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</si>
  <si>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</si>
  <si>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</si>
  <si>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</si>
  <si>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</si>
  <si>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</si>
  <si>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</si>
  <si>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</si>
  <si>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</si>
  <si>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</si>
  <si>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</si>
  <si>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</si>
  <si>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</si>
  <si>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</si>
  <si>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</si>
  <si>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</si>
  <si>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</si>
  <si>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</si>
  <si>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</si>
  <si>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</si>
  <si>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</si>
  <si>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</si>
  <si>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</si>
  <si>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</si>
  <si>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</si>
  <si>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</si>
  <si>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</si>
  <si>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</si>
  <si>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</si>
  <si>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Timberlane Regional School District</t>
  </si>
  <si>
    <t>07/1999</t>
  </si>
  <si>
    <t>08/2016</t>
  </si>
  <si>
    <t>4.25 to 5.25</t>
  </si>
  <si>
    <t>Transfer of high school funds to Trust Funds and correction of prior yr overstatement ($3,818)</t>
  </si>
  <si>
    <t>Transfer of high school funds from Spec. Rev.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</si>
</sst>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6" sqref="H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3712628.35+1831</f>
        <v>3714459.35</v>
      </c>
      <c r="G9" s="18">
        <v>102789.53</v>
      </c>
      <c r="H9" s="18">
        <f>64437.37+100</f>
        <v>64537.37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585043.85</v>
      </c>
      <c r="G12" s="18"/>
      <c r="H12" s="18"/>
      <c r="I12" s="18"/>
      <c r="J12" s="67">
        <f>SUM(I441)</f>
        <v>94297.22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498065.42</v>
      </c>
      <c r="G13" s="18">
        <v>21472.51</v>
      </c>
      <c r="H13" s="18">
        <v>558584.39</v>
      </c>
      <c r="I13" s="18"/>
      <c r="J13" s="67">
        <f>SUM(I442)</f>
        <v>905116.36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43705.89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14527.46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16750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4858024.51</v>
      </c>
      <c r="G19" s="41">
        <f>SUM(G9:G18)</f>
        <v>138789.5</v>
      </c>
      <c r="H19" s="41">
        <f>SUM(H9:H18)</f>
        <v>623121.76</v>
      </c>
      <c r="I19" s="41">
        <f>SUM(I9:I18)</f>
        <v>0</v>
      </c>
      <c r="J19" s="41">
        <f>SUM(J9:J18)</f>
        <v>999413.58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95382.27</v>
      </c>
      <c r="H22" s="18">
        <f>33253-2511.17+553216.97</f>
        <v>583958.79999999993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34407.74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249361.57</f>
        <v>249361.57</v>
      </c>
      <c r="G24" s="18">
        <v>5471.05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155963.64000000001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4396.24</v>
      </c>
      <c r="G30" s="18">
        <v>37936.18</v>
      </c>
      <c r="H30" s="18">
        <f>2511.17+5367.42</f>
        <v>7878.59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444129.19</v>
      </c>
      <c r="G32" s="41">
        <f>SUM(G22:G31)</f>
        <v>138789.5</v>
      </c>
      <c r="H32" s="41">
        <f>SUM(H22:H31)</f>
        <v>591837.3899999999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14527.46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16750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-14527.46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600000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39704.07-8419.7</f>
        <v>31284.37</v>
      </c>
      <c r="I48" s="18"/>
      <c r="J48" s="13">
        <f>SUM(I459)</f>
        <v>999413.58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294978.59999999998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3502166.72-250000</f>
        <v>3252166.72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4413895.32</v>
      </c>
      <c r="G51" s="41">
        <f>SUM(G35:G50)</f>
        <v>0</v>
      </c>
      <c r="H51" s="41">
        <f>SUM(H35:H50)</f>
        <v>31284.37</v>
      </c>
      <c r="I51" s="41">
        <f>SUM(I35:I50)</f>
        <v>0</v>
      </c>
      <c r="J51" s="41">
        <f>SUM(J35:J50)</f>
        <v>999413.58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4858024.5100000007</v>
      </c>
      <c r="G52" s="41">
        <f>G51+G32</f>
        <v>138789.5</v>
      </c>
      <c r="H52" s="41">
        <f>H51+H32</f>
        <v>623121.75999999989</v>
      </c>
      <c r="I52" s="41">
        <f>I51+I32</f>
        <v>0</v>
      </c>
      <c r="J52" s="41">
        <f>J51+J32</f>
        <v>999413.58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46865088-6196900</f>
        <v>40668188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144514.79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40812702.789999999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416039.6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19145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100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21330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76000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532614.6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1629.96</v>
      </c>
      <c r="G96" s="18"/>
      <c r="H96" s="18"/>
      <c r="I96" s="18"/>
      <c r="J96" s="18">
        <v>93.83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1034386.33-65331.67</f>
        <v>969054.65999999992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3465</v>
      </c>
      <c r="G101" s="18"/>
      <c r="H101" s="18">
        <v>28055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287.5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843316.32</v>
      </c>
      <c r="G110" s="18"/>
      <c r="H110" s="18">
        <f>15874.97+250+25572.38</f>
        <v>41697.35</v>
      </c>
      <c r="I110" s="18"/>
      <c r="J110" s="18">
        <v>20016.189999999999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848411.27999999991</v>
      </c>
      <c r="G111" s="41">
        <f>SUM(G96:G110)</f>
        <v>969054.65999999992</v>
      </c>
      <c r="H111" s="41">
        <f>SUM(H96:H110)</f>
        <v>70039.850000000006</v>
      </c>
      <c r="I111" s="41">
        <f>SUM(I96:I110)</f>
        <v>0</v>
      </c>
      <c r="J111" s="41">
        <f>SUM(J96:J110)</f>
        <v>20110.02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42193728.670000002</v>
      </c>
      <c r="G112" s="41">
        <f>G60+G111</f>
        <v>969054.65999999992</v>
      </c>
      <c r="H112" s="41">
        <f>H60+H79+H94+H111</f>
        <v>70039.850000000006</v>
      </c>
      <c r="I112" s="41">
        <f>I60+I111</f>
        <v>0</v>
      </c>
      <c r="J112" s="41">
        <f>J60+J111</f>
        <v>20110.02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11384288.66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6196900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17765.89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17598954.550000001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1103810.6599999999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607110.31000000006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38624.6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18637.419999999998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1749545.57</v>
      </c>
      <c r="G136" s="41">
        <f>SUM(G123:G135)</f>
        <v>18637.419999999998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19348500.120000001</v>
      </c>
      <c r="G140" s="41">
        <f>G121+SUM(G136:G137)</f>
        <v>18637.419999999998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117228.04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117228.04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409905.31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129507.66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422340.35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836015.63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632195.32999999996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21321.47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632195.32999999996</v>
      </c>
      <c r="G162" s="41">
        <f>SUM(G150:G161)</f>
        <v>422340.35</v>
      </c>
      <c r="H162" s="41">
        <f>SUM(H150:H161)</f>
        <v>1396750.07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749423.37</v>
      </c>
      <c r="G169" s="41">
        <f>G147+G162+SUM(G163:G168)</f>
        <v>422340.35</v>
      </c>
      <c r="H169" s="41">
        <f>H147+H162+SUM(H163:H168)</f>
        <v>1396750.07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65331.67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65331.67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65331.67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62291652.160000004</v>
      </c>
      <c r="G193" s="47">
        <f>G112+G140+G169+G192</f>
        <v>1475364.0999999999</v>
      </c>
      <c r="H193" s="47">
        <f>H112+H140+H169+H192</f>
        <v>1466789.9200000002</v>
      </c>
      <c r="I193" s="47">
        <f>I112+I140+I169+I192</f>
        <v>0</v>
      </c>
      <c r="J193" s="47">
        <f>J112+J140+J192</f>
        <v>20110.02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7230690.9299999997</v>
      </c>
      <c r="G197" s="18">
        <v>3140365.56</v>
      </c>
      <c r="H197" s="18">
        <v>19927.14</v>
      </c>
      <c r="I197" s="18">
        <v>457560.3</v>
      </c>
      <c r="J197" s="18">
        <v>179355.74</v>
      </c>
      <c r="K197" s="18">
        <v>137.5</v>
      </c>
      <c r="L197" s="19">
        <f>SUM(F197:K197)</f>
        <v>11028037.170000002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2434593.4900000002</v>
      </c>
      <c r="G198" s="18">
        <v>1057369.72</v>
      </c>
      <c r="H198" s="18">
        <v>371465.96</v>
      </c>
      <c r="I198" s="18">
        <v>18381.66</v>
      </c>
      <c r="J198" s="18">
        <v>7931.26</v>
      </c>
      <c r="K198" s="18"/>
      <c r="L198" s="19">
        <f>SUM(F198:K198)</f>
        <v>3889742.09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73989.09</v>
      </c>
      <c r="G200" s="18">
        <v>32134.240000000002</v>
      </c>
      <c r="H200" s="18">
        <v>3573.02</v>
      </c>
      <c r="I200" s="18">
        <v>9854.65</v>
      </c>
      <c r="J200" s="18"/>
      <c r="K200" s="18"/>
      <c r="L200" s="19">
        <f>SUM(F200:K200)</f>
        <v>119551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1136722.53</v>
      </c>
      <c r="G202" s="18">
        <v>493690.62</v>
      </c>
      <c r="H202" s="18">
        <v>41642.839999999997</v>
      </c>
      <c r="I202" s="18">
        <v>14564.07</v>
      </c>
      <c r="J202" s="18">
        <v>967.39</v>
      </c>
      <c r="K202" s="18">
        <v>5714.25</v>
      </c>
      <c r="L202" s="19">
        <f t="shared" ref="L202:L208" si="0">SUM(F202:K202)</f>
        <v>1693301.7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379989.89</v>
      </c>
      <c r="G203" s="18">
        <v>227818.51</v>
      </c>
      <c r="H203" s="18">
        <v>71588.84</v>
      </c>
      <c r="I203" s="18">
        <v>46152.43</v>
      </c>
      <c r="J203" s="18">
        <v>2658</v>
      </c>
      <c r="K203" s="18"/>
      <c r="L203" s="19">
        <f t="shared" si="0"/>
        <v>728207.67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197980.15</v>
      </c>
      <c r="G204" s="18">
        <v>85984.88</v>
      </c>
      <c r="H204" s="18">
        <v>499164.18</v>
      </c>
      <c r="I204" s="18">
        <v>3979.06</v>
      </c>
      <c r="J204" s="18">
        <v>121.1</v>
      </c>
      <c r="K204" s="18">
        <v>12780.53</v>
      </c>
      <c r="L204" s="19">
        <f t="shared" si="0"/>
        <v>800009.9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1178609.6200000001</v>
      </c>
      <c r="G205" s="18">
        <v>511882.63</v>
      </c>
      <c r="H205" s="18">
        <v>109850.05</v>
      </c>
      <c r="I205" s="18">
        <v>34987.75</v>
      </c>
      <c r="J205" s="18">
        <v>18819.150000000001</v>
      </c>
      <c r="K205" s="18">
        <v>7794.8</v>
      </c>
      <c r="L205" s="19">
        <f t="shared" si="0"/>
        <v>1861944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22800.06</v>
      </c>
      <c r="I206" s="18"/>
      <c r="J206" s="18"/>
      <c r="K206" s="18"/>
      <c r="L206" s="19">
        <f t="shared" si="0"/>
        <v>22800.06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752181.44</v>
      </c>
      <c r="G207" s="18">
        <v>336481.96</v>
      </c>
      <c r="H207" s="18">
        <v>315887.68</v>
      </c>
      <c r="I207" s="18">
        <v>560514.85</v>
      </c>
      <c r="J207" s="18">
        <v>21263.77</v>
      </c>
      <c r="K207" s="18"/>
      <c r="L207" s="19">
        <f t="shared" si="0"/>
        <v>1986329.6999999997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1048958.73</v>
      </c>
      <c r="I208" s="18"/>
      <c r="J208" s="18"/>
      <c r="K208" s="18"/>
      <c r="L208" s="19">
        <f t="shared" si="0"/>
        <v>1048958.73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54582.37</v>
      </c>
      <c r="G209" s="18">
        <v>23705.7</v>
      </c>
      <c r="H209" s="18">
        <v>70023.210000000006</v>
      </c>
      <c r="I209" s="18">
        <v>9114.15</v>
      </c>
      <c r="J209" s="18"/>
      <c r="K209" s="18"/>
      <c r="L209" s="19">
        <f>SUM(F209:K209)</f>
        <v>157425.43000000002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13439339.509999998</v>
      </c>
      <c r="G211" s="41">
        <f t="shared" si="1"/>
        <v>5909433.8200000003</v>
      </c>
      <c r="H211" s="41">
        <f t="shared" si="1"/>
        <v>2574881.71</v>
      </c>
      <c r="I211" s="41">
        <f t="shared" si="1"/>
        <v>1155108.92</v>
      </c>
      <c r="J211" s="41">
        <f t="shared" si="1"/>
        <v>231116.41</v>
      </c>
      <c r="K211" s="41">
        <f t="shared" si="1"/>
        <v>26427.079999999998</v>
      </c>
      <c r="L211" s="41">
        <f t="shared" si="1"/>
        <v>23336307.449999999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4325304.62</v>
      </c>
      <c r="G215" s="18">
        <v>1878525.57</v>
      </c>
      <c r="H215" s="18">
        <v>17699.79</v>
      </c>
      <c r="I215" s="18">
        <v>239352.58</v>
      </c>
      <c r="J215" s="18">
        <v>111107.92</v>
      </c>
      <c r="K215" s="18">
        <v>1954</v>
      </c>
      <c r="L215" s="19">
        <f>SUM(F215:K215)</f>
        <v>6573944.4800000004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1635262.62</v>
      </c>
      <c r="G216" s="18">
        <v>710211.86</v>
      </c>
      <c r="H216" s="18">
        <v>337926.95</v>
      </c>
      <c r="I216" s="18">
        <v>18031.66</v>
      </c>
      <c r="J216" s="18">
        <v>4752.3100000000004</v>
      </c>
      <c r="K216" s="18"/>
      <c r="L216" s="19">
        <f>SUM(F216:K216)</f>
        <v>2706185.4000000004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97542.44</v>
      </c>
      <c r="G218" s="18">
        <v>42363.71</v>
      </c>
      <c r="H218" s="18">
        <v>25204.38</v>
      </c>
      <c r="I218" s="18">
        <v>8625.2000000000007</v>
      </c>
      <c r="J218" s="18">
        <v>299</v>
      </c>
      <c r="K218" s="18">
        <v>1340</v>
      </c>
      <c r="L218" s="19">
        <f>SUM(F218:K218)</f>
        <v>175374.73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708617.87</v>
      </c>
      <c r="G220" s="18">
        <v>307760.24</v>
      </c>
      <c r="H220" s="18">
        <v>24951.88</v>
      </c>
      <c r="I220" s="18">
        <v>7868.28</v>
      </c>
      <c r="J220" s="18">
        <v>579.65</v>
      </c>
      <c r="K220" s="18">
        <v>3423.91</v>
      </c>
      <c r="L220" s="19">
        <f t="shared" ref="L220:L226" si="2">SUM(F220:K220)</f>
        <v>1053201.8299999998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154748.63</v>
      </c>
      <c r="G221" s="18">
        <v>104828.9</v>
      </c>
      <c r="H221" s="18">
        <v>43355.43</v>
      </c>
      <c r="I221" s="18">
        <v>36254.57</v>
      </c>
      <c r="J221" s="18">
        <v>1511.09</v>
      </c>
      <c r="K221" s="18"/>
      <c r="L221" s="19">
        <f t="shared" si="2"/>
        <v>340698.62000000005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118627.27</v>
      </c>
      <c r="G222" s="18">
        <v>51521.08</v>
      </c>
      <c r="H222" s="18">
        <v>299093.03999999998</v>
      </c>
      <c r="I222" s="18">
        <v>2384.1999999999998</v>
      </c>
      <c r="J222" s="18">
        <v>72.56</v>
      </c>
      <c r="K222" s="18">
        <v>7657.94</v>
      </c>
      <c r="L222" s="19">
        <f t="shared" si="2"/>
        <v>479356.09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527511.34</v>
      </c>
      <c r="G223" s="18">
        <v>229103.76</v>
      </c>
      <c r="H223" s="18">
        <v>27926.75</v>
      </c>
      <c r="I223" s="18">
        <v>39724.43</v>
      </c>
      <c r="J223" s="18">
        <v>17841.84</v>
      </c>
      <c r="K223" s="18">
        <v>4670.55</v>
      </c>
      <c r="L223" s="19">
        <f t="shared" si="2"/>
        <v>846778.67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13661.51</v>
      </c>
      <c r="I224" s="18"/>
      <c r="J224" s="18"/>
      <c r="K224" s="18"/>
      <c r="L224" s="19">
        <f t="shared" si="2"/>
        <v>13661.51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311802.75</v>
      </c>
      <c r="G225" s="18">
        <v>141292.23000000001</v>
      </c>
      <c r="H225" s="18">
        <v>189276.02</v>
      </c>
      <c r="I225" s="18">
        <v>200669.7</v>
      </c>
      <c r="J225" s="18">
        <v>12740.99</v>
      </c>
      <c r="K225" s="18"/>
      <c r="L225" s="19">
        <f t="shared" si="2"/>
        <v>855781.69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642194.09</v>
      </c>
      <c r="I226" s="18"/>
      <c r="J226" s="18"/>
      <c r="K226" s="18"/>
      <c r="L226" s="19">
        <f t="shared" si="2"/>
        <v>642194.09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32705.08</v>
      </c>
      <c r="G227" s="18">
        <v>14204.16</v>
      </c>
      <c r="H227" s="18">
        <v>41957.05</v>
      </c>
      <c r="I227" s="18">
        <v>5461.09</v>
      </c>
      <c r="J227" s="18"/>
      <c r="K227" s="18"/>
      <c r="L227" s="19">
        <f>SUM(F227:K227)</f>
        <v>94327.38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7912122.6200000001</v>
      </c>
      <c r="G229" s="41">
        <f>SUM(G215:G228)</f>
        <v>3479811.5100000002</v>
      </c>
      <c r="H229" s="41">
        <f>SUM(H215:H228)</f>
        <v>1663246.89</v>
      </c>
      <c r="I229" s="41">
        <f>SUM(I215:I228)</f>
        <v>558371.71000000008</v>
      </c>
      <c r="J229" s="41">
        <f>SUM(J215:J228)</f>
        <v>148905.35999999999</v>
      </c>
      <c r="K229" s="41">
        <f t="shared" si="3"/>
        <v>19046.399999999998</v>
      </c>
      <c r="L229" s="41">
        <f t="shared" si="3"/>
        <v>13781504.49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5512003.6799999997</v>
      </c>
      <c r="G233" s="18">
        <v>2393921.5299999998</v>
      </c>
      <c r="H233" s="18">
        <v>34998.14</v>
      </c>
      <c r="I233" s="18">
        <v>456021.84</v>
      </c>
      <c r="J233" s="18">
        <v>184266.58</v>
      </c>
      <c r="K233" s="18">
        <v>3985</v>
      </c>
      <c r="L233" s="19">
        <f>SUM(F233:K233)</f>
        <v>8585196.7699999996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1960718.21</v>
      </c>
      <c r="G234" s="18">
        <v>851560.67</v>
      </c>
      <c r="H234" s="18">
        <v>1517412.77</v>
      </c>
      <c r="I234" s="18">
        <v>18145.580000000002</v>
      </c>
      <c r="J234" s="18">
        <v>8206.25</v>
      </c>
      <c r="K234" s="18"/>
      <c r="L234" s="19">
        <f>SUM(F234:K234)</f>
        <v>4356043.4800000004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40724.78</v>
      </c>
      <c r="I235" s="18"/>
      <c r="J235" s="18"/>
      <c r="K235" s="18"/>
      <c r="L235" s="19">
        <f>SUM(F235:K235)</f>
        <v>40724.78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300711.34000000003</v>
      </c>
      <c r="G236" s="18">
        <v>130602.12</v>
      </c>
      <c r="H236" s="18">
        <v>96019.56</v>
      </c>
      <c r="I236" s="18">
        <v>49638.85</v>
      </c>
      <c r="J236" s="18">
        <v>3038.98</v>
      </c>
      <c r="K236" s="18">
        <v>85547.83</v>
      </c>
      <c r="L236" s="19">
        <f>SUM(F236:K236)</f>
        <v>665558.67999999993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1224009.1399999999</v>
      </c>
      <c r="G238" s="18">
        <v>531600.12</v>
      </c>
      <c r="H238" s="18">
        <v>44142.75</v>
      </c>
      <c r="I238" s="18">
        <v>14270.03</v>
      </c>
      <c r="J238" s="18">
        <v>849.36</v>
      </c>
      <c r="K238" s="18">
        <v>5017.04</v>
      </c>
      <c r="L238" s="19">
        <f t="shared" ref="L238:L244" si="4">SUM(F238:K238)</f>
        <v>1819888.44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158510.51999999999</v>
      </c>
      <c r="G239" s="18">
        <v>123967.09</v>
      </c>
      <c r="H239" s="18">
        <v>62355.69</v>
      </c>
      <c r="I239" s="18">
        <v>47999.77</v>
      </c>
      <c r="J239" s="18">
        <v>1518.67</v>
      </c>
      <c r="K239" s="18"/>
      <c r="L239" s="19">
        <f t="shared" si="4"/>
        <v>394351.74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173823.97</v>
      </c>
      <c r="G240" s="18">
        <v>75493.59</v>
      </c>
      <c r="H240" s="18">
        <v>438259.6</v>
      </c>
      <c r="I240" s="18">
        <v>3493.56</v>
      </c>
      <c r="J240" s="18">
        <v>106.33</v>
      </c>
      <c r="K240" s="18">
        <v>11221.14</v>
      </c>
      <c r="L240" s="19">
        <f t="shared" si="4"/>
        <v>702398.19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721468.97</v>
      </c>
      <c r="G241" s="18">
        <v>313341.61</v>
      </c>
      <c r="H241" s="18">
        <v>57353.43</v>
      </c>
      <c r="I241" s="18">
        <v>44629.91</v>
      </c>
      <c r="J241" s="18">
        <v>14472.69</v>
      </c>
      <c r="K241" s="18">
        <v>7168.73</v>
      </c>
      <c r="L241" s="19">
        <f t="shared" si="4"/>
        <v>1158435.3399999999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20018.150000000001</v>
      </c>
      <c r="I242" s="18"/>
      <c r="J242" s="18"/>
      <c r="K242" s="18"/>
      <c r="L242" s="19">
        <f t="shared" si="4"/>
        <v>20018.150000000001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454064.78</v>
      </c>
      <c r="G243" s="18">
        <v>205810.81</v>
      </c>
      <c r="H243" s="18">
        <v>355156.99</v>
      </c>
      <c r="I243" s="18">
        <v>351981.07</v>
      </c>
      <c r="J243" s="18">
        <v>18669.310000000001</v>
      </c>
      <c r="K243" s="18"/>
      <c r="L243" s="19">
        <f t="shared" si="4"/>
        <v>1385682.9600000002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1055648.32</v>
      </c>
      <c r="I244" s="18"/>
      <c r="J244" s="18"/>
      <c r="K244" s="18"/>
      <c r="L244" s="19">
        <f t="shared" si="4"/>
        <v>1055648.32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47922.6</v>
      </c>
      <c r="G245" s="18">
        <v>20813.29</v>
      </c>
      <c r="H245" s="18">
        <v>61479.46</v>
      </c>
      <c r="I245" s="18">
        <v>8002.1</v>
      </c>
      <c r="J245" s="18"/>
      <c r="K245" s="18"/>
      <c r="L245" s="19">
        <f>SUM(F245:K245)</f>
        <v>138217.45000000001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10553233.209999999</v>
      </c>
      <c r="G247" s="41">
        <f t="shared" si="5"/>
        <v>4647110.8299999991</v>
      </c>
      <c r="H247" s="41">
        <f t="shared" si="5"/>
        <v>3783569.6400000006</v>
      </c>
      <c r="I247" s="41">
        <f t="shared" si="5"/>
        <v>994182.71000000008</v>
      </c>
      <c r="J247" s="41">
        <f t="shared" si="5"/>
        <v>231128.16999999998</v>
      </c>
      <c r="K247" s="41">
        <f t="shared" si="5"/>
        <v>112939.73999999999</v>
      </c>
      <c r="L247" s="41">
        <f t="shared" si="5"/>
        <v>20322164.299999997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110899.44</v>
      </c>
      <c r="G251" s="18">
        <v>48164.800000000003</v>
      </c>
      <c r="H251" s="18"/>
      <c r="I251" s="18">
        <v>28617.83</v>
      </c>
      <c r="J251" s="18"/>
      <c r="K251" s="18"/>
      <c r="L251" s="19">
        <f t="shared" si="6"/>
        <v>187682.07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768796.54</v>
      </c>
      <c r="I255" s="18"/>
      <c r="J255" s="18"/>
      <c r="K255" s="18"/>
      <c r="L255" s="19">
        <f t="shared" si="6"/>
        <v>768796.54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110899.44</v>
      </c>
      <c r="G256" s="41">
        <f t="shared" si="7"/>
        <v>48164.800000000003</v>
      </c>
      <c r="H256" s="41">
        <f t="shared" si="7"/>
        <v>768796.54</v>
      </c>
      <c r="I256" s="41">
        <f t="shared" si="7"/>
        <v>28617.83</v>
      </c>
      <c r="J256" s="41">
        <f t="shared" si="7"/>
        <v>0</v>
      </c>
      <c r="K256" s="41">
        <f t="shared" si="7"/>
        <v>0</v>
      </c>
      <c r="L256" s="41">
        <f>SUM(F256:K256)</f>
        <v>956478.61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32015594.779999997</v>
      </c>
      <c r="G257" s="41">
        <f t="shared" si="8"/>
        <v>14084520.960000001</v>
      </c>
      <c r="H257" s="41">
        <f t="shared" si="8"/>
        <v>8790494.7800000012</v>
      </c>
      <c r="I257" s="41">
        <f t="shared" si="8"/>
        <v>2736281.17</v>
      </c>
      <c r="J257" s="41">
        <f t="shared" si="8"/>
        <v>611149.93999999994</v>
      </c>
      <c r="K257" s="41">
        <f t="shared" si="8"/>
        <v>158413.21999999997</v>
      </c>
      <c r="L257" s="41">
        <f t="shared" si="8"/>
        <v>58396454.849999994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1600000</v>
      </c>
      <c r="L260" s="19">
        <f>SUM(F260:K260)</f>
        <v>1600000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462000</v>
      </c>
      <c r="L261" s="19">
        <f>SUM(F261:K261)</f>
        <v>462000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65331.67</v>
      </c>
      <c r="L263" s="19">
        <f>SUM(F263:K263)</f>
        <v>65331.67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2127331.67</v>
      </c>
      <c r="L270" s="41">
        <f t="shared" si="9"/>
        <v>2127331.67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32015594.779999997</v>
      </c>
      <c r="G271" s="42">
        <f t="shared" si="11"/>
        <v>14084520.960000001</v>
      </c>
      <c r="H271" s="42">
        <f t="shared" si="11"/>
        <v>8790494.7800000012</v>
      </c>
      <c r="I271" s="42">
        <f t="shared" si="11"/>
        <v>2736281.17</v>
      </c>
      <c r="J271" s="42">
        <f t="shared" si="11"/>
        <v>611149.93999999994</v>
      </c>
      <c r="K271" s="42">
        <f t="shared" si="11"/>
        <v>2285744.8899999997</v>
      </c>
      <c r="L271" s="42">
        <f t="shared" si="11"/>
        <v>60523786.519999996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299315.34999999998</v>
      </c>
      <c r="G276" s="18">
        <v>22817.279999999999</v>
      </c>
      <c r="H276" s="18"/>
      <c r="I276" s="18">
        <v>86535.82</v>
      </c>
      <c r="J276" s="18">
        <v>9219.92</v>
      </c>
      <c r="K276" s="18"/>
      <c r="L276" s="19">
        <f>SUM(F276:K276)</f>
        <v>417888.37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262547.28000000003</v>
      </c>
      <c r="G277" s="18"/>
      <c r="H277" s="18">
        <v>55497.7</v>
      </c>
      <c r="I277" s="18">
        <v>3177.31</v>
      </c>
      <c r="J277" s="18">
        <v>9221.3700000000008</v>
      </c>
      <c r="K277" s="18"/>
      <c r="L277" s="19">
        <f>SUM(F277:K277)</f>
        <v>330443.66000000003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1674.4</v>
      </c>
      <c r="J279" s="18"/>
      <c r="K279" s="18"/>
      <c r="L279" s="19">
        <f>SUM(F279:K279)</f>
        <v>1674.4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22788.26</v>
      </c>
      <c r="G282" s="18">
        <v>1269.57</v>
      </c>
      <c r="H282" s="18">
        <v>40510.379999999997</v>
      </c>
      <c r="I282" s="18">
        <v>4767</v>
      </c>
      <c r="J282" s="18"/>
      <c r="K282" s="18">
        <v>50</v>
      </c>
      <c r="L282" s="19">
        <f t="shared" si="12"/>
        <v>69385.209999999992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3858.76</v>
      </c>
      <c r="I287" s="18"/>
      <c r="J287" s="18"/>
      <c r="K287" s="18"/>
      <c r="L287" s="19">
        <f t="shared" si="12"/>
        <v>3858.76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584650.89</v>
      </c>
      <c r="G290" s="42">
        <f t="shared" si="13"/>
        <v>24086.85</v>
      </c>
      <c r="H290" s="42">
        <f t="shared" si="13"/>
        <v>99866.839999999982</v>
      </c>
      <c r="I290" s="42">
        <f t="shared" si="13"/>
        <v>96154.53</v>
      </c>
      <c r="J290" s="42">
        <f t="shared" si="13"/>
        <v>18441.29</v>
      </c>
      <c r="K290" s="42">
        <f t="shared" si="13"/>
        <v>50</v>
      </c>
      <c r="L290" s="41">
        <f t="shared" si="13"/>
        <v>823250.4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116.51</v>
      </c>
      <c r="J295" s="18"/>
      <c r="K295" s="18"/>
      <c r="L295" s="19">
        <f>SUM(F295:K295)</f>
        <v>116.51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157315.1</v>
      </c>
      <c r="G296" s="18"/>
      <c r="H296" s="18">
        <v>33253.54</v>
      </c>
      <c r="I296" s="18">
        <v>1903.8</v>
      </c>
      <c r="J296" s="18">
        <v>5525.33</v>
      </c>
      <c r="K296" s="18"/>
      <c r="L296" s="19">
        <f>SUM(F296:K296)</f>
        <v>197997.77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1003.28</v>
      </c>
      <c r="J298" s="18"/>
      <c r="K298" s="18"/>
      <c r="L298" s="19">
        <f>SUM(F298:K298)</f>
        <v>1003.28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13654.45</v>
      </c>
      <c r="G301" s="18">
        <v>760.71</v>
      </c>
      <c r="H301" s="18">
        <v>18274.91</v>
      </c>
      <c r="I301" s="18">
        <v>3622.08</v>
      </c>
      <c r="J301" s="18"/>
      <c r="K301" s="18"/>
      <c r="L301" s="19">
        <f t="shared" si="14"/>
        <v>36312.15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170969.55000000002</v>
      </c>
      <c r="G309" s="42">
        <f t="shared" si="15"/>
        <v>760.71</v>
      </c>
      <c r="H309" s="42">
        <f t="shared" si="15"/>
        <v>51528.45</v>
      </c>
      <c r="I309" s="42">
        <f t="shared" si="15"/>
        <v>6645.67</v>
      </c>
      <c r="J309" s="42">
        <f t="shared" si="15"/>
        <v>5525.33</v>
      </c>
      <c r="K309" s="42">
        <f t="shared" si="15"/>
        <v>0</v>
      </c>
      <c r="L309" s="41">
        <f t="shared" si="15"/>
        <v>235429.71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800</v>
      </c>
      <c r="G314" s="18"/>
      <c r="H314" s="18"/>
      <c r="I314" s="18">
        <v>1546.79</v>
      </c>
      <c r="J314" s="18"/>
      <c r="K314" s="18"/>
      <c r="L314" s="19">
        <f>SUM(F314:K314)</f>
        <v>2346.79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230513.06</v>
      </c>
      <c r="G315" s="18"/>
      <c r="H315" s="18">
        <v>48726.25</v>
      </c>
      <c r="I315" s="18">
        <v>2789.64</v>
      </c>
      <c r="J315" s="18">
        <v>8096.24</v>
      </c>
      <c r="K315" s="18"/>
      <c r="L315" s="19">
        <f>SUM(F315:K315)</f>
        <v>290125.19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v>2942.02</v>
      </c>
      <c r="J317" s="18">
        <v>1444.98</v>
      </c>
      <c r="K317" s="18">
        <v>5250</v>
      </c>
      <c r="L317" s="19">
        <f>SUM(F317:K317)</f>
        <v>9637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4"/>
      <c r="G319" s="4"/>
      <c r="H319" s="4"/>
      <c r="I319" s="4"/>
      <c r="J319" s="4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4">
        <v>20007.79</v>
      </c>
      <c r="G320" s="4">
        <v>1114.6600000000001</v>
      </c>
      <c r="H320" s="4">
        <v>26778.14</v>
      </c>
      <c r="I320" s="4">
        <v>4185.3599999999997</v>
      </c>
      <c r="J320" s="4"/>
      <c r="K320" s="18"/>
      <c r="L320" s="19">
        <f t="shared" si="16"/>
        <v>52085.95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>SUM(F314:F327)</f>
        <v>251320.85</v>
      </c>
      <c r="G328" s="42">
        <f>SUM(G314:G327)</f>
        <v>1114.6600000000001</v>
      </c>
      <c r="H328" s="42">
        <f>SUM(H314:H327)</f>
        <v>75504.39</v>
      </c>
      <c r="I328" s="42">
        <f>SUM(I314:I327)</f>
        <v>11463.810000000001</v>
      </c>
      <c r="J328" s="42">
        <f>SUM(J314:J327)</f>
        <v>9541.2199999999993</v>
      </c>
      <c r="K328" s="42">
        <f t="shared" ref="K328:L328" si="17">SUM(K314:K327)</f>
        <v>5250</v>
      </c>
      <c r="L328" s="41">
        <f t="shared" si="17"/>
        <v>354194.93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16329.44</v>
      </c>
      <c r="G335" s="18">
        <v>3582.82</v>
      </c>
      <c r="H335" s="18">
        <v>31732.15</v>
      </c>
      <c r="I335" s="18">
        <v>3243.48</v>
      </c>
      <c r="J335" s="18">
        <v>7446.69</v>
      </c>
      <c r="K335" s="18"/>
      <c r="L335" s="19">
        <f t="shared" si="18"/>
        <v>62334.580000000009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16329.44</v>
      </c>
      <c r="G337" s="41">
        <f t="shared" si="19"/>
        <v>3582.82</v>
      </c>
      <c r="H337" s="41">
        <f t="shared" si="19"/>
        <v>31732.15</v>
      </c>
      <c r="I337" s="41">
        <f t="shared" si="19"/>
        <v>3243.48</v>
      </c>
      <c r="J337" s="41">
        <f t="shared" si="19"/>
        <v>7446.69</v>
      </c>
      <c r="K337" s="41">
        <f t="shared" si="19"/>
        <v>0</v>
      </c>
      <c r="L337" s="41">
        <f t="shared" si="18"/>
        <v>62334.580000000009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1023270.73</v>
      </c>
      <c r="G338" s="41">
        <f t="shared" si="20"/>
        <v>29545.039999999997</v>
      </c>
      <c r="H338" s="41">
        <f t="shared" si="20"/>
        <v>258631.83</v>
      </c>
      <c r="I338" s="41">
        <f t="shared" si="20"/>
        <v>117507.48999999999</v>
      </c>
      <c r="J338" s="41">
        <f t="shared" si="20"/>
        <v>40954.530000000006</v>
      </c>
      <c r="K338" s="41">
        <f t="shared" si="20"/>
        <v>5300</v>
      </c>
      <c r="L338" s="41">
        <f t="shared" si="20"/>
        <v>1475209.62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1023270.73</v>
      </c>
      <c r="G352" s="41">
        <f>G338</f>
        <v>29545.039999999997</v>
      </c>
      <c r="H352" s="41">
        <f>H338</f>
        <v>258631.83</v>
      </c>
      <c r="I352" s="41">
        <f>I338</f>
        <v>117507.48999999999</v>
      </c>
      <c r="J352" s="41">
        <f>J338</f>
        <v>40954.530000000006</v>
      </c>
      <c r="K352" s="47">
        <f>K338+K351</f>
        <v>5300</v>
      </c>
      <c r="L352" s="41">
        <f>L338+L351</f>
        <v>1475209.62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293787.96999999997</v>
      </c>
      <c r="G358" s="18">
        <v>62888.91</v>
      </c>
      <c r="H358" s="18">
        <v>10082.969999999999</v>
      </c>
      <c r="I358" s="18">
        <v>286661</v>
      </c>
      <c r="J358" s="18"/>
      <c r="K358" s="18">
        <v>5307.95</v>
      </c>
      <c r="L358" s="13">
        <f>SUM(F358:K358)</f>
        <v>658728.79999999993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140554.45000000001</v>
      </c>
      <c r="G359" s="18">
        <v>30087.4</v>
      </c>
      <c r="H359" s="18">
        <v>5156.66</v>
      </c>
      <c r="I359" s="18">
        <v>168198.68</v>
      </c>
      <c r="J359" s="18"/>
      <c r="K359" s="18">
        <v>3180.46</v>
      </c>
      <c r="L359" s="19">
        <f>SUM(F359:K359)</f>
        <v>347177.65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174224.27</v>
      </c>
      <c r="G360" s="18">
        <v>37294.839999999997</v>
      </c>
      <c r="H360" s="18">
        <v>3064.25</v>
      </c>
      <c r="I360" s="18">
        <v>250213.98</v>
      </c>
      <c r="J360" s="18"/>
      <c r="K360" s="18">
        <v>4660.3100000000004</v>
      </c>
      <c r="L360" s="19">
        <f>SUM(F360:K360)</f>
        <v>469457.64999999997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608566.68999999994</v>
      </c>
      <c r="G362" s="47">
        <f t="shared" si="22"/>
        <v>130271.15</v>
      </c>
      <c r="H362" s="47">
        <f t="shared" si="22"/>
        <v>18303.879999999997</v>
      </c>
      <c r="I362" s="47">
        <f t="shared" si="22"/>
        <v>705073.66</v>
      </c>
      <c r="J362" s="47">
        <f t="shared" si="22"/>
        <v>0</v>
      </c>
      <c r="K362" s="47">
        <f t="shared" si="22"/>
        <v>13148.720000000001</v>
      </c>
      <c r="L362" s="47">
        <f t="shared" si="22"/>
        <v>1475364.0999999999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223805.39</v>
      </c>
      <c r="G367" s="18">
        <v>133738.69</v>
      </c>
      <c r="H367" s="18">
        <v>195966.67</v>
      </c>
      <c r="I367" s="56">
        <f>SUM(F367:H367)</f>
        <v>553510.75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62855.61</v>
      </c>
      <c r="G368" s="63">
        <v>34459.99</v>
      </c>
      <c r="H368" s="63">
        <v>54247.31</v>
      </c>
      <c r="I368" s="56">
        <f>SUM(F368:H368)</f>
        <v>151562.91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286661</v>
      </c>
      <c r="G369" s="47">
        <f>SUM(G367:G368)</f>
        <v>168198.68</v>
      </c>
      <c r="H369" s="47">
        <f>SUM(H367:H368)</f>
        <v>250213.98</v>
      </c>
      <c r="I369" s="47">
        <f>SUM(I367:I368)</f>
        <v>705073.66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93.83</v>
      </c>
      <c r="I388" s="18"/>
      <c r="J388" s="24" t="s">
        <v>289</v>
      </c>
      <c r="K388" s="24" t="s">
        <v>289</v>
      </c>
      <c r="L388" s="56">
        <f t="shared" si="25"/>
        <v>93.83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93.83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93.83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20016.189999999999</v>
      </c>
      <c r="J400" s="24" t="s">
        <v>289</v>
      </c>
      <c r="K400" s="24" t="s">
        <v>289</v>
      </c>
      <c r="L400" s="56">
        <f t="shared" si="26"/>
        <v>20016.189999999999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20016.189999999999</v>
      </c>
      <c r="J401" s="45" t="s">
        <v>289</v>
      </c>
      <c r="K401" s="45" t="s">
        <v>289</v>
      </c>
      <c r="L401" s="47">
        <f>SUM(L395:L400)</f>
        <v>20016.189999999999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93.83</v>
      </c>
      <c r="I408" s="47">
        <f>I393+I401+I407</f>
        <v>20016.189999999999</v>
      </c>
      <c r="J408" s="24" t="s">
        <v>289</v>
      </c>
      <c r="K408" s="24" t="s">
        <v>289</v>
      </c>
      <c r="L408" s="47">
        <f>L393+L401+L407</f>
        <v>20110.02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>
        <v>2880</v>
      </c>
      <c r="J426" s="18"/>
      <c r="K426" s="18"/>
      <c r="L426" s="56">
        <f t="shared" si="29"/>
        <v>2880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2880</v>
      </c>
      <c r="J427" s="47">
        <f t="shared" si="30"/>
        <v>0</v>
      </c>
      <c r="K427" s="47">
        <f t="shared" si="30"/>
        <v>0</v>
      </c>
      <c r="L427" s="47">
        <f t="shared" si="30"/>
        <v>2880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2880</v>
      </c>
      <c r="J434" s="47">
        <f t="shared" si="32"/>
        <v>0</v>
      </c>
      <c r="K434" s="47">
        <f t="shared" si="32"/>
        <v>0</v>
      </c>
      <c r="L434" s="47">
        <f t="shared" si="32"/>
        <v>2880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94297.22</v>
      </c>
      <c r="H441" s="18"/>
      <c r="I441" s="56">
        <f t="shared" si="33"/>
        <v>94297.22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905116.36</v>
      </c>
      <c r="G442" s="18"/>
      <c r="H442" s="18"/>
      <c r="I442" s="56">
        <f t="shared" si="33"/>
        <v>905116.36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905116.36</v>
      </c>
      <c r="G446" s="13">
        <f>SUM(G439:G445)</f>
        <v>94297.22</v>
      </c>
      <c r="H446" s="13">
        <f>SUM(H439:H445)</f>
        <v>0</v>
      </c>
      <c r="I446" s="13">
        <f>SUM(I439:I445)</f>
        <v>999413.58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905116.36</v>
      </c>
      <c r="G459" s="18">
        <v>94297.22</v>
      </c>
      <c r="H459" s="18"/>
      <c r="I459" s="56">
        <f t="shared" si="34"/>
        <v>999413.58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905116.36</v>
      </c>
      <c r="G460" s="83">
        <f>SUM(G454:G459)</f>
        <v>94297.22</v>
      </c>
      <c r="H460" s="83">
        <f>SUM(H454:H459)</f>
        <v>0</v>
      </c>
      <c r="I460" s="83">
        <f>SUM(I454:I459)</f>
        <v>999413.58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905116.36</v>
      </c>
      <c r="G461" s="42">
        <f>G452+G460</f>
        <v>94297.22</v>
      </c>
      <c r="H461" s="42">
        <f>H452+H460</f>
        <v>0</v>
      </c>
      <c r="I461" s="42">
        <f>I452+I460</f>
        <v>999413.58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2646029.6800000002</v>
      </c>
      <c r="G465" s="18">
        <v>0</v>
      </c>
      <c r="H465" s="18">
        <v>120683.1</v>
      </c>
      <c r="I465" s="18"/>
      <c r="J465" s="18">
        <v>905022.53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62291652.159999996</v>
      </c>
      <c r="G468" s="18">
        <v>1475364.1</v>
      </c>
      <c r="H468" s="18">
        <v>1466789.92</v>
      </c>
      <c r="I468" s="18"/>
      <c r="J468" s="18">
        <v>20110.02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77161.03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62291652.159999996</v>
      </c>
      <c r="G470" s="53">
        <f>SUM(G468:G469)</f>
        <v>1475364.1</v>
      </c>
      <c r="H470" s="53">
        <f>SUM(H468:H469)</f>
        <v>1466789.92</v>
      </c>
      <c r="I470" s="53">
        <f>SUM(I468:I469)</f>
        <v>0</v>
      </c>
      <c r="J470" s="53">
        <f>SUM(J468:J469)</f>
        <v>97271.05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60523786.520000003</v>
      </c>
      <c r="G472" s="18">
        <v>1475364.1</v>
      </c>
      <c r="H472" s="18">
        <v>1475209.62</v>
      </c>
      <c r="I472" s="18"/>
      <c r="J472" s="18">
        <v>2880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f>77161.03+3818</f>
        <v>80979.03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60523786.520000003</v>
      </c>
      <c r="G474" s="53">
        <f>SUM(G472:G473)</f>
        <v>1475364.1</v>
      </c>
      <c r="H474" s="53">
        <f>SUM(H472:H473)</f>
        <v>1556188.6500000001</v>
      </c>
      <c r="I474" s="53">
        <f>SUM(I472:I473)</f>
        <v>0</v>
      </c>
      <c r="J474" s="53">
        <f>SUM(J472:J473)</f>
        <v>2880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4413895.3199999928</v>
      </c>
      <c r="G476" s="53">
        <f>(G465+G470)- G474</f>
        <v>0</v>
      </c>
      <c r="H476" s="53">
        <f>(H465+H470)- H474</f>
        <v>31284.369999999879</v>
      </c>
      <c r="I476" s="53">
        <f>(I465+I470)- I474</f>
        <v>0</v>
      </c>
      <c r="J476" s="53">
        <f>(J465+J470)- J474</f>
        <v>999413.58000000007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4" t="s">
        <v>914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9600000</v>
      </c>
      <c r="G495" s="18"/>
      <c r="H495" s="18"/>
      <c r="I495" s="18"/>
      <c r="J495" s="18"/>
      <c r="K495" s="53">
        <f>SUM(F495:J495)</f>
        <v>9600000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1600000</v>
      </c>
      <c r="G497" s="18"/>
      <c r="H497" s="18"/>
      <c r="I497" s="18"/>
      <c r="J497" s="18"/>
      <c r="K497" s="53">
        <f t="shared" si="35"/>
        <v>1600000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8000000</v>
      </c>
      <c r="G498" s="204"/>
      <c r="H498" s="204"/>
      <c r="I498" s="204"/>
      <c r="J498" s="204"/>
      <c r="K498" s="205">
        <f t="shared" si="35"/>
        <v>8000000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1050000</v>
      </c>
      <c r="G499" s="18"/>
      <c r="H499" s="18"/>
      <c r="I499" s="18"/>
      <c r="J499" s="18"/>
      <c r="K499" s="53">
        <f t="shared" si="35"/>
        <v>1050000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9050000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9050000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1600000</v>
      </c>
      <c r="G501" s="204"/>
      <c r="H501" s="204"/>
      <c r="I501" s="204"/>
      <c r="J501" s="204"/>
      <c r="K501" s="205">
        <f t="shared" si="35"/>
        <v>1600000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378000</v>
      </c>
      <c r="G502" s="18"/>
      <c r="H502" s="18"/>
      <c r="I502" s="18"/>
      <c r="J502" s="18"/>
      <c r="K502" s="53">
        <f t="shared" si="35"/>
        <v>378000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1978000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1978000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2568765.58</v>
      </c>
      <c r="G521" s="18">
        <v>1001615.02</v>
      </c>
      <c r="H521" s="18">
        <v>423665.1</v>
      </c>
      <c r="I521" s="18">
        <v>21367.18</v>
      </c>
      <c r="J521" s="18">
        <v>17152.63</v>
      </c>
      <c r="K521" s="18"/>
      <c r="L521" s="88">
        <f>SUM(F521:K521)</f>
        <v>4032565.5100000002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1715654.37</v>
      </c>
      <c r="G522" s="18">
        <v>676803.23</v>
      </c>
      <c r="H522" s="18">
        <v>369203.97</v>
      </c>
      <c r="I522" s="18">
        <v>19820.54</v>
      </c>
      <c r="J522" s="18">
        <v>10277.64</v>
      </c>
      <c r="K522" s="18"/>
      <c r="L522" s="88">
        <f>SUM(F522:K522)</f>
        <v>2791759.7500000005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2078533.31</v>
      </c>
      <c r="G523" s="18">
        <v>802614.75</v>
      </c>
      <c r="H523" s="18">
        <v>1563243.27</v>
      </c>
      <c r="I523" s="18">
        <v>20766.849999999999</v>
      </c>
      <c r="J523" s="18">
        <v>16302.49</v>
      </c>
      <c r="K523" s="18"/>
      <c r="L523" s="88">
        <f>SUM(F523:K523)</f>
        <v>4481460.67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6362953.2599999998</v>
      </c>
      <c r="G524" s="108">
        <f t="shared" ref="G524:L524" si="36">SUM(G521:G523)</f>
        <v>2481033</v>
      </c>
      <c r="H524" s="108">
        <f t="shared" si="36"/>
        <v>2356112.34</v>
      </c>
      <c r="I524" s="108">
        <f t="shared" si="36"/>
        <v>61954.57</v>
      </c>
      <c r="J524" s="108">
        <f t="shared" si="36"/>
        <v>43732.76</v>
      </c>
      <c r="K524" s="108">
        <f t="shared" si="36"/>
        <v>0</v>
      </c>
      <c r="L524" s="89">
        <f t="shared" si="36"/>
        <v>11305785.93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480178.94</v>
      </c>
      <c r="G526" s="18">
        <v>208546.79</v>
      </c>
      <c r="H526" s="18">
        <v>37814.97</v>
      </c>
      <c r="I526" s="18">
        <v>6618.75</v>
      </c>
      <c r="J526" s="18">
        <v>559.28</v>
      </c>
      <c r="K526" s="18">
        <v>5714.45</v>
      </c>
      <c r="L526" s="88">
        <f>SUM(F526:K526)</f>
        <v>739433.17999999993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287726.74</v>
      </c>
      <c r="G527" s="18">
        <v>124962.77</v>
      </c>
      <c r="H527" s="18">
        <v>22659.01</v>
      </c>
      <c r="I527" s="18">
        <v>3966</v>
      </c>
      <c r="J527" s="18">
        <v>335.13</v>
      </c>
      <c r="K527" s="18">
        <v>3424.14</v>
      </c>
      <c r="L527" s="88">
        <f>SUM(F527:K527)</f>
        <v>443073.79000000004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421539.3</v>
      </c>
      <c r="G528" s="18">
        <v>183078.98</v>
      </c>
      <c r="H528" s="18">
        <v>33196.99</v>
      </c>
      <c r="I528" s="18">
        <v>5810.47</v>
      </c>
      <c r="J528" s="18">
        <v>490.98</v>
      </c>
      <c r="K528" s="18">
        <v>5016.6000000000004</v>
      </c>
      <c r="L528" s="88">
        <f>SUM(F528:K528)</f>
        <v>649133.31999999995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1189444.98</v>
      </c>
      <c r="G529" s="89">
        <f t="shared" ref="G529:L529" si="37">SUM(G526:G528)</f>
        <v>516588.54000000004</v>
      </c>
      <c r="H529" s="89">
        <f t="shared" si="37"/>
        <v>93670.97</v>
      </c>
      <c r="I529" s="89">
        <f t="shared" si="37"/>
        <v>16395.22</v>
      </c>
      <c r="J529" s="89">
        <f t="shared" si="37"/>
        <v>1385.3899999999999</v>
      </c>
      <c r="K529" s="89">
        <f t="shared" si="37"/>
        <v>14155.19</v>
      </c>
      <c r="L529" s="89">
        <f t="shared" si="37"/>
        <v>1831640.29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128375.19</v>
      </c>
      <c r="G531" s="18">
        <v>55754.7</v>
      </c>
      <c r="H531" s="18">
        <v>3298.56</v>
      </c>
      <c r="I531" s="18">
        <v>191.79</v>
      </c>
      <c r="J531" s="18"/>
      <c r="K531" s="18"/>
      <c r="L531" s="88">
        <f>SUM(F531:K531)</f>
        <v>187620.24000000002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76923.350000000006</v>
      </c>
      <c r="G532" s="18">
        <v>33408.629999999997</v>
      </c>
      <c r="H532" s="18">
        <v>1976.52</v>
      </c>
      <c r="I532" s="18">
        <v>114.92</v>
      </c>
      <c r="J532" s="18"/>
      <c r="K532" s="18"/>
      <c r="L532" s="88">
        <f>SUM(F532:K532)</f>
        <v>112423.42000000001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112697.96</v>
      </c>
      <c r="G533" s="18">
        <v>48945.919999999998</v>
      </c>
      <c r="H533" s="18">
        <v>2895.75</v>
      </c>
      <c r="I533" s="18">
        <v>168.37</v>
      </c>
      <c r="J533" s="18"/>
      <c r="K533" s="18"/>
      <c r="L533" s="88">
        <f>SUM(F533:K533)</f>
        <v>164708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317996.5</v>
      </c>
      <c r="G534" s="89">
        <f t="shared" ref="G534:L534" si="38">SUM(G531:G533)</f>
        <v>138109.25</v>
      </c>
      <c r="H534" s="89">
        <f t="shared" si="38"/>
        <v>8170.83</v>
      </c>
      <c r="I534" s="89">
        <f t="shared" si="38"/>
        <v>475.08</v>
      </c>
      <c r="J534" s="89">
        <f t="shared" si="38"/>
        <v>0</v>
      </c>
      <c r="K534" s="89">
        <f t="shared" si="38"/>
        <v>0</v>
      </c>
      <c r="L534" s="89">
        <f t="shared" si="38"/>
        <v>464751.66000000003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14299.01</v>
      </c>
      <c r="I536" s="18"/>
      <c r="J536" s="18"/>
      <c r="K536" s="18"/>
      <c r="L536" s="88">
        <f>SUM(F536:K536)</f>
        <v>14299.01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8568.07</v>
      </c>
      <c r="I537" s="18"/>
      <c r="J537" s="18"/>
      <c r="K537" s="18"/>
      <c r="L537" s="88">
        <f>SUM(F537:K537)</f>
        <v>8568.07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12552.81</v>
      </c>
      <c r="I538" s="18"/>
      <c r="J538" s="18"/>
      <c r="K538" s="18"/>
      <c r="L538" s="88">
        <f>SUM(F538:K538)</f>
        <v>12552.81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35419.89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35419.89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310234.28999999998</v>
      </c>
      <c r="I541" s="18"/>
      <c r="J541" s="18"/>
      <c r="K541" s="18"/>
      <c r="L541" s="88">
        <f>SUM(F541:K541)</f>
        <v>310234.28999999998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185894.66</v>
      </c>
      <c r="I542" s="18"/>
      <c r="J542" s="18"/>
      <c r="K542" s="18"/>
      <c r="L542" s="88">
        <f>SUM(F542:K542)</f>
        <v>185894.66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272348.36</v>
      </c>
      <c r="I543" s="18"/>
      <c r="J543" s="18"/>
      <c r="K543" s="18"/>
      <c r="L543" s="88">
        <f>SUM(F543:K543)</f>
        <v>272348.36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768477.30999999994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768477.30999999994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7870394.7400000002</v>
      </c>
      <c r="G545" s="89">
        <f t="shared" ref="G545:L545" si="41">G524+G529+G534+G539+G544</f>
        <v>3135730.79</v>
      </c>
      <c r="H545" s="89">
        <f t="shared" si="41"/>
        <v>3261851.3400000003</v>
      </c>
      <c r="I545" s="89">
        <f t="shared" si="41"/>
        <v>78824.87000000001</v>
      </c>
      <c r="J545" s="89">
        <f t="shared" si="41"/>
        <v>45118.15</v>
      </c>
      <c r="K545" s="89">
        <f t="shared" si="41"/>
        <v>14155.19</v>
      </c>
      <c r="L545" s="89">
        <f t="shared" si="41"/>
        <v>14406075.08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4032565.5100000002</v>
      </c>
      <c r="G549" s="87">
        <f>L526</f>
        <v>739433.17999999993</v>
      </c>
      <c r="H549" s="87">
        <f>L531</f>
        <v>187620.24000000002</v>
      </c>
      <c r="I549" s="87">
        <f>L536</f>
        <v>14299.01</v>
      </c>
      <c r="J549" s="87">
        <f>L541</f>
        <v>310234.28999999998</v>
      </c>
      <c r="K549" s="87">
        <f>SUM(F549:J549)</f>
        <v>5284152.2300000004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2791759.7500000005</v>
      </c>
      <c r="G550" s="87">
        <f>L527</f>
        <v>443073.79000000004</v>
      </c>
      <c r="H550" s="87">
        <f>L532</f>
        <v>112423.42000000001</v>
      </c>
      <c r="I550" s="87">
        <f>L537</f>
        <v>8568.07</v>
      </c>
      <c r="J550" s="87">
        <f>L542</f>
        <v>185894.66</v>
      </c>
      <c r="K550" s="87">
        <f>SUM(F550:J550)</f>
        <v>3541719.6900000004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4481460.67</v>
      </c>
      <c r="G551" s="87">
        <f>L528</f>
        <v>649133.31999999995</v>
      </c>
      <c r="H551" s="87">
        <f>L533</f>
        <v>164708</v>
      </c>
      <c r="I551" s="87">
        <f>L538</f>
        <v>12552.81</v>
      </c>
      <c r="J551" s="87">
        <f>L543</f>
        <v>272348.36</v>
      </c>
      <c r="K551" s="87">
        <f>SUM(F551:J551)</f>
        <v>5580203.1600000001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11305785.93</v>
      </c>
      <c r="G552" s="89">
        <f t="shared" si="42"/>
        <v>1831640.29</v>
      </c>
      <c r="H552" s="89">
        <f t="shared" si="42"/>
        <v>464751.66000000003</v>
      </c>
      <c r="I552" s="89">
        <f t="shared" si="42"/>
        <v>35419.89</v>
      </c>
      <c r="J552" s="89">
        <f t="shared" si="42"/>
        <v>768477.30999999994</v>
      </c>
      <c r="K552" s="89">
        <f t="shared" si="42"/>
        <v>14406075.080000002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243498.32</v>
      </c>
      <c r="G567" s="18"/>
      <c r="H567" s="18"/>
      <c r="I567" s="18">
        <v>1307.51</v>
      </c>
      <c r="J567" s="18"/>
      <c r="K567" s="18"/>
      <c r="L567" s="88">
        <f>SUM(F567:K567)</f>
        <v>244805.83000000002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48769</v>
      </c>
      <c r="G568" s="18"/>
      <c r="H568" s="18"/>
      <c r="I568" s="18">
        <f>2062.1+1502.65</f>
        <v>3564.75</v>
      </c>
      <c r="J568" s="18"/>
      <c r="K568" s="18"/>
      <c r="L568" s="88">
        <f>SUM(F568:K568)</f>
        <v>52333.75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2000</v>
      </c>
      <c r="G569" s="18"/>
      <c r="H569" s="18">
        <f>300+1575</f>
        <v>1875</v>
      </c>
      <c r="I569" s="18">
        <v>431.96</v>
      </c>
      <c r="J569" s="18"/>
      <c r="K569" s="18"/>
      <c r="L569" s="88">
        <f>SUM(F569:K569)</f>
        <v>4306.96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294267.32</v>
      </c>
      <c r="G570" s="193">
        <f t="shared" ref="G570:L570" si="45">SUM(G567:G569)</f>
        <v>0</v>
      </c>
      <c r="H570" s="193">
        <f t="shared" si="45"/>
        <v>1875</v>
      </c>
      <c r="I570" s="193">
        <f t="shared" si="45"/>
        <v>5304.22</v>
      </c>
      <c r="J570" s="193">
        <f t="shared" si="45"/>
        <v>0</v>
      </c>
      <c r="K570" s="193">
        <f t="shared" si="45"/>
        <v>0</v>
      </c>
      <c r="L570" s="193">
        <f t="shared" si="45"/>
        <v>301446.54000000004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294267.32</v>
      </c>
      <c r="G571" s="89">
        <f t="shared" ref="G571:L571" si="46">G560+G565+G570</f>
        <v>0</v>
      </c>
      <c r="H571" s="89">
        <f t="shared" si="46"/>
        <v>1875</v>
      </c>
      <c r="I571" s="89">
        <f t="shared" si="46"/>
        <v>5304.22</v>
      </c>
      <c r="J571" s="89">
        <f t="shared" si="46"/>
        <v>0</v>
      </c>
      <c r="K571" s="89">
        <f t="shared" si="46"/>
        <v>0</v>
      </c>
      <c r="L571" s="89">
        <f t="shared" si="46"/>
        <v>301446.54000000004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212952.1</v>
      </c>
      <c r="G582" s="18">
        <v>242311.99</v>
      </c>
      <c r="H582" s="18">
        <v>1218160.3799999999</v>
      </c>
      <c r="I582" s="87">
        <f t="shared" si="47"/>
        <v>1673424.4699999997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159458.84</v>
      </c>
      <c r="I583" s="87">
        <f t="shared" si="47"/>
        <v>159458.84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40724.78</v>
      </c>
      <c r="I584" s="87">
        <f t="shared" si="47"/>
        <v>40724.78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729098.83</v>
      </c>
      <c r="I591" s="18">
        <v>436860.97</v>
      </c>
      <c r="J591" s="18">
        <v>632563.44999999995</v>
      </c>
      <c r="K591" s="104">
        <f t="shared" ref="K591:K597" si="48">SUM(H591:J591)</f>
        <v>1798523.2499999998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310234.28999999998</v>
      </c>
      <c r="I592" s="18">
        <v>185894.66</v>
      </c>
      <c r="J592" s="18">
        <v>272348.36</v>
      </c>
      <c r="K592" s="104">
        <f t="shared" si="48"/>
        <v>768477.30999999994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63356.67</v>
      </c>
      <c r="K593" s="104">
        <f t="shared" si="48"/>
        <v>63356.67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13005.34</v>
      </c>
      <c r="J594" s="18">
        <v>70628.36</v>
      </c>
      <c r="K594" s="104">
        <f t="shared" si="48"/>
        <v>83633.7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9625.61</v>
      </c>
      <c r="I595" s="18">
        <v>6433.12</v>
      </c>
      <c r="J595" s="18">
        <v>9142.4599999999991</v>
      </c>
      <c r="K595" s="104">
        <f t="shared" si="48"/>
        <v>25201.19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7609.02</v>
      </c>
      <c r="K597" s="104">
        <f t="shared" si="48"/>
        <v>7609.02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1048958.73</v>
      </c>
      <c r="I598" s="108">
        <f>SUM(I591:I597)</f>
        <v>642194.09</v>
      </c>
      <c r="J598" s="108">
        <f>SUM(J591:J597)</f>
        <v>1055648.3199999998</v>
      </c>
      <c r="K598" s="108">
        <f>SUM(K591:K597)</f>
        <v>2746801.1399999997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249557.7</v>
      </c>
      <c r="I604" s="18">
        <v>154430.69</v>
      </c>
      <c r="J604" s="18">
        <v>248116.08</v>
      </c>
      <c r="K604" s="104">
        <f>SUM(H604:J604)</f>
        <v>652104.47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249557.7</v>
      </c>
      <c r="I605" s="108">
        <f>SUM(I602:I604)</f>
        <v>154430.69</v>
      </c>
      <c r="J605" s="108">
        <f>SUM(J602:J604)</f>
        <v>248116.08</v>
      </c>
      <c r="K605" s="108">
        <f>SUM(K602:K604)</f>
        <v>652104.47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19200</v>
      </c>
      <c r="G613" s="18"/>
      <c r="H613" s="18"/>
      <c r="I613" s="18">
        <v>46.22</v>
      </c>
      <c r="J613" s="18"/>
      <c r="K613" s="18"/>
      <c r="L613" s="88">
        <f>SUM(F613:K613)</f>
        <v>19246.22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19200</v>
      </c>
      <c r="G614" s="108">
        <f t="shared" si="49"/>
        <v>0</v>
      </c>
      <c r="H614" s="108">
        <f t="shared" si="49"/>
        <v>0</v>
      </c>
      <c r="I614" s="108">
        <f t="shared" si="49"/>
        <v>46.22</v>
      </c>
      <c r="J614" s="108">
        <f t="shared" si="49"/>
        <v>0</v>
      </c>
      <c r="K614" s="108">
        <f t="shared" si="49"/>
        <v>0</v>
      </c>
      <c r="L614" s="89">
        <f t="shared" si="49"/>
        <v>19246.22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4858024.51</v>
      </c>
      <c r="H617" s="109">
        <f>SUM(F52)</f>
        <v>4858024.5100000007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138789.5</v>
      </c>
      <c r="H618" s="109">
        <f>SUM(G52)</f>
        <v>138789.5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623121.76</v>
      </c>
      <c r="H619" s="109">
        <f>SUM(H52)</f>
        <v>623121.75999999989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999413.58</v>
      </c>
      <c r="H621" s="109">
        <f>SUM(J52)</f>
        <v>999413.58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4413895.32</v>
      </c>
      <c r="H622" s="109">
        <f>F476</f>
        <v>4413895.3199999928</v>
      </c>
      <c r="I622" s="121" t="s">
        <v>101</v>
      </c>
      <c r="J622" s="109">
        <f t="shared" ref="J622:J655" si="50">G622-H622</f>
        <v>7.4505805969238281E-9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31284.37</v>
      </c>
      <c r="H624" s="109">
        <f>H476</f>
        <v>31284.369999999879</v>
      </c>
      <c r="I624" s="121" t="s">
        <v>103</v>
      </c>
      <c r="J624" s="109">
        <f t="shared" si="50"/>
        <v>1.2005330063402653E-10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999413.58</v>
      </c>
      <c r="H626" s="109">
        <f>J476</f>
        <v>999413.58000000007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62291652.160000004</v>
      </c>
      <c r="H627" s="104">
        <f>SUM(F468)</f>
        <v>62291652.159999996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1475364.0999999999</v>
      </c>
      <c r="H628" s="104">
        <f>SUM(G468)</f>
        <v>1475364.1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1466789.9200000002</v>
      </c>
      <c r="H629" s="104">
        <f>SUM(H468)</f>
        <v>1466789.92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20110.02</v>
      </c>
      <c r="H631" s="104">
        <f>SUM(J468)</f>
        <v>20110.02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60523786.519999996</v>
      </c>
      <c r="H632" s="104">
        <f>SUM(F472)</f>
        <v>60523786.520000003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1475209.62</v>
      </c>
      <c r="H633" s="104">
        <f>SUM(H472)</f>
        <v>1475209.62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705073.66</v>
      </c>
      <c r="H634" s="104">
        <f>I369</f>
        <v>705073.66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1475364.0999999999</v>
      </c>
      <c r="H635" s="104">
        <f>SUM(G472)</f>
        <v>1475364.1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20110.02</v>
      </c>
      <c r="H637" s="164">
        <f>SUM(J468)</f>
        <v>20110.02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2880</v>
      </c>
      <c r="H638" s="164">
        <f>SUM(J472)</f>
        <v>2880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905116.36</v>
      </c>
      <c r="H639" s="104">
        <f>SUM(F461)</f>
        <v>905116.36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94297.22</v>
      </c>
      <c r="H640" s="104">
        <f>SUM(G461)</f>
        <v>94297.22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999413.58</v>
      </c>
      <c r="H642" s="104">
        <f>SUM(I461)</f>
        <v>999413.58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93.83</v>
      </c>
      <c r="H644" s="104">
        <f>H408</f>
        <v>93.83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20110.02</v>
      </c>
      <c r="H646" s="104">
        <f>L408</f>
        <v>20110.02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2746801.1399999997</v>
      </c>
      <c r="H647" s="104">
        <f>L208+L226+L244</f>
        <v>2746801.1399999997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652104.47</v>
      </c>
      <c r="H648" s="104">
        <f>(J257+J338)-(J255+J336)</f>
        <v>652104.47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1048958.73</v>
      </c>
      <c r="H649" s="104">
        <f>H598</f>
        <v>1048958.73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642194.09</v>
      </c>
      <c r="H650" s="104">
        <f>I598</f>
        <v>642194.09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1055648.32</v>
      </c>
      <c r="H651" s="104">
        <f>J598</f>
        <v>1055648.3199999998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65331.67</v>
      </c>
      <c r="H652" s="104">
        <f>K263+K345</f>
        <v>65331.67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24818286.649999999</v>
      </c>
      <c r="G660" s="19">
        <f>(L229+L309+L359)</f>
        <v>14364111.850000001</v>
      </c>
      <c r="H660" s="19">
        <f>(L247+L328+L360)</f>
        <v>21145816.879999995</v>
      </c>
      <c r="I660" s="19">
        <f>SUM(F660:H660)</f>
        <v>60328215.379999995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432668.93461499293</v>
      </c>
      <c r="G661" s="19">
        <f>(L359/IF(SUM(L358:L360)=0,1,SUM(L358:L360))*(SUM(G97:G110)))</f>
        <v>228034.63875822179</v>
      </c>
      <c r="H661" s="19">
        <f>(L360/IF(SUM(L358:L360)=0,1,SUM(L358:L360))*(SUM(G97:G110)))</f>
        <v>308351.08662678523</v>
      </c>
      <c r="I661" s="19">
        <f>SUM(F661:H661)</f>
        <v>969054.65999999992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1052817.49</v>
      </c>
      <c r="G662" s="19">
        <f>(L226+L306)-(J226+J306)</f>
        <v>642194.09</v>
      </c>
      <c r="H662" s="19">
        <f>(L244+L325)-(J244+J325)</f>
        <v>1055648.32</v>
      </c>
      <c r="I662" s="19">
        <f>SUM(F662:H662)</f>
        <v>2750659.9000000004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462509.80000000005</v>
      </c>
      <c r="G663" s="199">
        <f>SUM(G575:G587)+SUM(I602:I604)+L612</f>
        <v>396742.68</v>
      </c>
      <c r="H663" s="199">
        <f>SUM(H575:H587)+SUM(J602:J604)+L613</f>
        <v>1685706.3</v>
      </c>
      <c r="I663" s="19">
        <f>SUM(F663:H663)</f>
        <v>2544958.7800000003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22870290.425385006</v>
      </c>
      <c r="G664" s="19">
        <f>G660-SUM(G661:G663)</f>
        <v>13097140.44124178</v>
      </c>
      <c r="H664" s="19">
        <f>H660-SUM(H661:H663)</f>
        <v>18096111.173373211</v>
      </c>
      <c r="I664" s="19">
        <f>I660-SUM(I661:I663)</f>
        <v>54063542.039999992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1477.3</v>
      </c>
      <c r="G665" s="248">
        <v>885.18</v>
      </c>
      <c r="H665" s="248">
        <v>1297.05</v>
      </c>
      <c r="I665" s="19">
        <f>SUM(F665:H665)</f>
        <v>3659.5299999999997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15481.14</v>
      </c>
      <c r="G667" s="19">
        <f>ROUND(G664/G665,2)</f>
        <v>14796.02</v>
      </c>
      <c r="H667" s="19">
        <f>ROUND(H664/H665,2)</f>
        <v>13951.75</v>
      </c>
      <c r="I667" s="19">
        <f>ROUND(I664/I665,2)</f>
        <v>14773.36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-23.16</v>
      </c>
      <c r="I670" s="19">
        <f>SUM(F670:H670)</f>
        <v>-23.16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15481.14</v>
      </c>
      <c r="G672" s="19">
        <f>ROUND((G664+G669)/(G665+G670),2)</f>
        <v>14796.02</v>
      </c>
      <c r="H672" s="19">
        <f>ROUND((H664+H669)/(H665+H670),2)</f>
        <v>14205.4</v>
      </c>
      <c r="I672" s="19">
        <f>ROUND((I664+I669)/(I665+I670),2)</f>
        <v>14867.45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Timberlane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17368114.580000002</v>
      </c>
      <c r="C9" s="229">
        <f>'DOE25'!G197+'DOE25'!G215+'DOE25'!G233+'DOE25'!G276+'DOE25'!G295+'DOE25'!G314</f>
        <v>7435629.9400000004</v>
      </c>
    </row>
    <row r="10" spans="1:3" x14ac:dyDescent="0.2">
      <c r="A10" t="s">
        <v>779</v>
      </c>
      <c r="B10" s="240">
        <v>15980997.25</v>
      </c>
      <c r="C10" s="240">
        <v>6841777.8499999996</v>
      </c>
    </row>
    <row r="11" spans="1:3" x14ac:dyDescent="0.2">
      <c r="A11" t="s">
        <v>780</v>
      </c>
      <c r="B11" s="240">
        <v>1359337.33</v>
      </c>
      <c r="C11" s="240">
        <v>581958.93000000005</v>
      </c>
    </row>
    <row r="12" spans="1:3" x14ac:dyDescent="0.2">
      <c r="A12" t="s">
        <v>781</v>
      </c>
      <c r="B12" s="240">
        <v>27780</v>
      </c>
      <c r="C12" s="240">
        <v>11893.16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17368114.579999998</v>
      </c>
      <c r="C13" s="231">
        <f>SUM(C10:C12)</f>
        <v>7435629.9399999995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6680949.7599999998</v>
      </c>
      <c r="C18" s="229">
        <f>'DOE25'!G198+'DOE25'!G216+'DOE25'!G234+'DOE25'!G277+'DOE25'!G296+'DOE25'!G315</f>
        <v>2619142.25</v>
      </c>
    </row>
    <row r="19" spans="1:3" x14ac:dyDescent="0.2">
      <c r="A19" t="s">
        <v>779</v>
      </c>
      <c r="B19" s="240">
        <v>4130963.7899999996</v>
      </c>
      <c r="C19" s="240">
        <v>1619467.62</v>
      </c>
    </row>
    <row r="20" spans="1:3" x14ac:dyDescent="0.2">
      <c r="A20" t="s">
        <v>780</v>
      </c>
      <c r="B20" s="240">
        <v>2230072.8199999998</v>
      </c>
      <c r="C20" s="240">
        <v>874258.62</v>
      </c>
    </row>
    <row r="21" spans="1:3" x14ac:dyDescent="0.2">
      <c r="A21" t="s">
        <v>781</v>
      </c>
      <c r="B21" s="240">
        <v>319913.15000000002</v>
      </c>
      <c r="C21" s="240">
        <v>125416.01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6680949.7599999998</v>
      </c>
      <c r="C22" s="231">
        <f>SUM(C19:C21)</f>
        <v>2619142.25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472242.87</v>
      </c>
      <c r="C36" s="235">
        <f>'DOE25'!G200+'DOE25'!G218+'DOE25'!G236+'DOE25'!G279+'DOE25'!G298+'DOE25'!G317</f>
        <v>205100.07</v>
      </c>
    </row>
    <row r="37" spans="1:3" x14ac:dyDescent="0.2">
      <c r="A37" t="s">
        <v>779</v>
      </c>
      <c r="B37" s="240">
        <v>336873.44</v>
      </c>
      <c r="C37" s="240">
        <v>146307.70000000001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135369.43</v>
      </c>
      <c r="C39" s="240">
        <v>58792.37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472242.87</v>
      </c>
      <c r="C40" s="231">
        <f>SUM(C37:C39)</f>
        <v>205100.07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Timberlane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38140358.580000006</v>
      </c>
      <c r="D5" s="20">
        <f>SUM('DOE25'!L197:L200)+SUM('DOE25'!L215:L218)+SUM('DOE25'!L233:L236)-F5-G5</f>
        <v>37548436.210000008</v>
      </c>
      <c r="E5" s="243"/>
      <c r="F5" s="255">
        <f>SUM('DOE25'!J197:J200)+SUM('DOE25'!J215:J218)+SUM('DOE25'!J233:J236)</f>
        <v>498958.04</v>
      </c>
      <c r="G5" s="53">
        <f>SUM('DOE25'!K197:K200)+SUM('DOE25'!K215:K218)+SUM('DOE25'!K233:K236)</f>
        <v>92964.33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4566391.97</v>
      </c>
      <c r="D6" s="20">
        <f>'DOE25'!L202+'DOE25'!L220+'DOE25'!L238-F6-G6</f>
        <v>4549840.3699999992</v>
      </c>
      <c r="E6" s="243"/>
      <c r="F6" s="255">
        <f>'DOE25'!J202+'DOE25'!J220+'DOE25'!J238</f>
        <v>2396.4</v>
      </c>
      <c r="G6" s="53">
        <f>'DOE25'!K202+'DOE25'!K220+'DOE25'!K238</f>
        <v>14155.2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1463258.03</v>
      </c>
      <c r="D7" s="20">
        <f>'DOE25'!L203+'DOE25'!L221+'DOE25'!L239-F7-G7</f>
        <v>1457570.27</v>
      </c>
      <c r="E7" s="243"/>
      <c r="F7" s="255">
        <f>'DOE25'!J203+'DOE25'!J221+'DOE25'!J239</f>
        <v>5687.76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1606824.42</v>
      </c>
      <c r="D8" s="243"/>
      <c r="E8" s="20">
        <f>'DOE25'!L204+'DOE25'!L222+'DOE25'!L240-F8-G8-D9-D11</f>
        <v>1574864.8199999998</v>
      </c>
      <c r="F8" s="255">
        <f>'DOE25'!J204+'DOE25'!J222+'DOE25'!J240</f>
        <v>299.99</v>
      </c>
      <c r="G8" s="53">
        <f>'DOE25'!K204+'DOE25'!K222+'DOE25'!K240</f>
        <v>31659.61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9200</v>
      </c>
      <c r="D9" s="244">
        <v>9200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22993.5</v>
      </c>
      <c r="D10" s="243"/>
      <c r="E10" s="244">
        <v>22993.5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365739.76</v>
      </c>
      <c r="D11" s="244">
        <v>365739.76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3867158.01</v>
      </c>
      <c r="D12" s="20">
        <f>'DOE25'!L205+'DOE25'!L223+'DOE25'!L241-F12-G12</f>
        <v>3796390.2499999995</v>
      </c>
      <c r="E12" s="243"/>
      <c r="F12" s="255">
        <f>'DOE25'!J205+'DOE25'!J223+'DOE25'!J241</f>
        <v>51133.680000000008</v>
      </c>
      <c r="G12" s="53">
        <f>'DOE25'!K205+'DOE25'!K223+'DOE25'!K241</f>
        <v>19634.080000000002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56479.72</v>
      </c>
      <c r="D13" s="243"/>
      <c r="E13" s="20">
        <f>'DOE25'!L206+'DOE25'!L224+'DOE25'!L242-F13-G13</f>
        <v>56479.72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4227794.3499999996</v>
      </c>
      <c r="D14" s="20">
        <f>'DOE25'!L207+'DOE25'!L225+'DOE25'!L243-F14-G14</f>
        <v>4175120.28</v>
      </c>
      <c r="E14" s="243"/>
      <c r="F14" s="255">
        <f>'DOE25'!J207+'DOE25'!J225+'DOE25'!J243</f>
        <v>52674.070000000007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2746801.1399999997</v>
      </c>
      <c r="D15" s="20">
        <f>'DOE25'!L208+'DOE25'!L226+'DOE25'!L244-F15-G15</f>
        <v>2746801.1399999997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389970.26</v>
      </c>
      <c r="D16" s="243"/>
      <c r="E16" s="20">
        <f>'DOE25'!L209+'DOE25'!L227+'DOE25'!L245-F16-G16</f>
        <v>389970.26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187682.07</v>
      </c>
      <c r="D17" s="20">
        <f>'DOE25'!L251-F17-G17</f>
        <v>187682.07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768796.54</v>
      </c>
      <c r="D22" s="243"/>
      <c r="E22" s="243"/>
      <c r="F22" s="255">
        <f>'DOE25'!L255+'DOE25'!L336</f>
        <v>768796.54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2062000</v>
      </c>
      <c r="D25" s="243"/>
      <c r="E25" s="243"/>
      <c r="F25" s="258"/>
      <c r="G25" s="256"/>
      <c r="H25" s="257">
        <f>'DOE25'!L260+'DOE25'!L261+'DOE25'!L341+'DOE25'!L342</f>
        <v>2062000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921853.34999999986</v>
      </c>
      <c r="D29" s="20">
        <f>'DOE25'!L358+'DOE25'!L359+'DOE25'!L360-'DOE25'!I367-F29-G29</f>
        <v>908704.62999999989</v>
      </c>
      <c r="E29" s="243"/>
      <c r="F29" s="255">
        <f>'DOE25'!J358+'DOE25'!J359+'DOE25'!J360</f>
        <v>0</v>
      </c>
      <c r="G29" s="53">
        <f>'DOE25'!K358+'DOE25'!K359+'DOE25'!K360</f>
        <v>13148.720000000001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1475209.62</v>
      </c>
      <c r="D31" s="20">
        <f>'DOE25'!L290+'DOE25'!L309+'DOE25'!L328+'DOE25'!L333+'DOE25'!L334+'DOE25'!L335-F31-G31</f>
        <v>1428955.09</v>
      </c>
      <c r="E31" s="243"/>
      <c r="F31" s="255">
        <f>'DOE25'!J290+'DOE25'!J309+'DOE25'!J328+'DOE25'!J333+'DOE25'!J334+'DOE25'!J335</f>
        <v>40954.530000000006</v>
      </c>
      <c r="G31" s="53">
        <f>'DOE25'!K290+'DOE25'!K309+'DOE25'!K328+'DOE25'!K333+'DOE25'!K334+'DOE25'!K335</f>
        <v>5300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57174440.070000015</v>
      </c>
      <c r="E33" s="246">
        <f>SUM(E5:E31)</f>
        <v>2044308.2999999998</v>
      </c>
      <c r="F33" s="246">
        <f>SUM(F5:F31)</f>
        <v>1420901.01</v>
      </c>
      <c r="G33" s="246">
        <f>SUM(G5:G31)</f>
        <v>176861.94000000003</v>
      </c>
      <c r="H33" s="246">
        <f>SUM(H5:H31)</f>
        <v>2062000</v>
      </c>
    </row>
    <row r="35" spans="2:8" ht="12" thickBot="1" x14ac:dyDescent="0.25">
      <c r="B35" s="253" t="s">
        <v>847</v>
      </c>
      <c r="D35" s="254">
        <f>E33</f>
        <v>2044308.2999999998</v>
      </c>
      <c r="E35" s="249"/>
    </row>
    <row r="36" spans="2:8" ht="12" thickTop="1" x14ac:dyDescent="0.2">
      <c r="B36" t="s">
        <v>815</v>
      </c>
      <c r="D36" s="20">
        <f>D33</f>
        <v>57174440.070000015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3714459.35</v>
      </c>
      <c r="D8" s="95">
        <f>'DOE25'!G9</f>
        <v>102789.53</v>
      </c>
      <c r="E8" s="95">
        <f>'DOE25'!H9</f>
        <v>64537.37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585043.85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94297.22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498065.42</v>
      </c>
      <c r="D12" s="95">
        <f>'DOE25'!G13</f>
        <v>21472.51</v>
      </c>
      <c r="E12" s="95">
        <f>'DOE25'!H13</f>
        <v>558584.39</v>
      </c>
      <c r="F12" s="95">
        <f>'DOE25'!I13</f>
        <v>0</v>
      </c>
      <c r="G12" s="95">
        <f>'DOE25'!J13</f>
        <v>905116.36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43705.89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14527.46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16750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4858024.51</v>
      </c>
      <c r="D18" s="41">
        <f>SUM(D8:D17)</f>
        <v>138789.5</v>
      </c>
      <c r="E18" s="41">
        <f>SUM(E8:E17)</f>
        <v>623121.76</v>
      </c>
      <c r="F18" s="41">
        <f>SUM(F8:F17)</f>
        <v>0</v>
      </c>
      <c r="G18" s="41">
        <f>SUM(G8:G17)</f>
        <v>999413.58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95382.27</v>
      </c>
      <c r="E21" s="95">
        <f>'DOE25'!H22</f>
        <v>583958.79999999993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34407.74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249361.57</v>
      </c>
      <c r="D23" s="95">
        <f>'DOE25'!G24</f>
        <v>5471.05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155963.64000000001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4396.24</v>
      </c>
      <c r="D29" s="95">
        <f>'DOE25'!G30</f>
        <v>37936.18</v>
      </c>
      <c r="E29" s="95">
        <f>'DOE25'!H30</f>
        <v>7878.59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444129.19</v>
      </c>
      <c r="D31" s="41">
        <f>SUM(D21:D30)</f>
        <v>138789.5</v>
      </c>
      <c r="E31" s="41">
        <f>SUM(E21:E30)</f>
        <v>591837.3899999999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14527.46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16750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-14527.46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600000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31284.37</v>
      </c>
      <c r="F47" s="95">
        <f>'DOE25'!I48</f>
        <v>0</v>
      </c>
      <c r="G47" s="95">
        <f>'DOE25'!J48</f>
        <v>999413.58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294978.59999999998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3252166.72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4413895.32</v>
      </c>
      <c r="D50" s="41">
        <f>SUM(D34:D49)</f>
        <v>0</v>
      </c>
      <c r="E50" s="41">
        <f>SUM(E34:E49)</f>
        <v>31284.37</v>
      </c>
      <c r="F50" s="41">
        <f>SUM(F34:F49)</f>
        <v>0</v>
      </c>
      <c r="G50" s="41">
        <f>SUM(G34:G49)</f>
        <v>999413.58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4858024.5100000007</v>
      </c>
      <c r="D51" s="41">
        <f>D50+D31</f>
        <v>138789.5</v>
      </c>
      <c r="E51" s="41">
        <f>E50+E31</f>
        <v>623121.75999999989</v>
      </c>
      <c r="F51" s="41">
        <f>F50+F31</f>
        <v>0</v>
      </c>
      <c r="G51" s="41">
        <f>G50+G31</f>
        <v>999413.58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40812702.789999999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532614.6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1629.96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93.83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969054.65999999992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846781.32</v>
      </c>
      <c r="D61" s="95">
        <f>SUM('DOE25'!G98:G110)</f>
        <v>0</v>
      </c>
      <c r="E61" s="95">
        <f>SUM('DOE25'!H98:H110)</f>
        <v>70039.850000000006</v>
      </c>
      <c r="F61" s="95">
        <f>SUM('DOE25'!I98:I110)</f>
        <v>0</v>
      </c>
      <c r="G61" s="95">
        <f>SUM('DOE25'!J98:J110)</f>
        <v>20016.189999999999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1381025.88</v>
      </c>
      <c r="D62" s="130">
        <f>SUM(D57:D61)</f>
        <v>969054.65999999992</v>
      </c>
      <c r="E62" s="130">
        <f>SUM(E57:E61)</f>
        <v>70039.850000000006</v>
      </c>
      <c r="F62" s="130">
        <f>SUM(F57:F61)</f>
        <v>0</v>
      </c>
      <c r="G62" s="130">
        <f>SUM(G57:G61)</f>
        <v>20110.02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42193728.670000002</v>
      </c>
      <c r="D63" s="22">
        <f>D56+D62</f>
        <v>969054.65999999992</v>
      </c>
      <c r="E63" s="22">
        <f>E56+E62</f>
        <v>70039.850000000006</v>
      </c>
      <c r="F63" s="22">
        <f>F56+F62</f>
        <v>0</v>
      </c>
      <c r="G63" s="22">
        <f>G56+G62</f>
        <v>20110.02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11384288.66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6196900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17765.89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17598954.550000001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1103810.6599999999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607110.31000000006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38624.6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18637.419999999998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1749545.57</v>
      </c>
      <c r="D78" s="130">
        <f>SUM(D72:D77)</f>
        <v>18637.419999999998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19348500.120000001</v>
      </c>
      <c r="D81" s="130">
        <f>SUM(D79:D80)+D78+D70</f>
        <v>18637.419999999998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117228.04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632195.32999999996</v>
      </c>
      <c r="D88" s="95">
        <f>SUM('DOE25'!G153:G161)</f>
        <v>422340.35</v>
      </c>
      <c r="E88" s="95">
        <f>SUM('DOE25'!H153:H161)</f>
        <v>1396750.07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749423.37</v>
      </c>
      <c r="D91" s="131">
        <f>SUM(D85:D90)</f>
        <v>422340.35</v>
      </c>
      <c r="E91" s="131">
        <f>SUM(E85:E90)</f>
        <v>1396750.07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65331.67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65331.67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62291652.160000004</v>
      </c>
      <c r="D104" s="86">
        <f>D63+D81+D91+D103</f>
        <v>1475364.0999999999</v>
      </c>
      <c r="E104" s="86">
        <f>E63+E81+E91+E103</f>
        <v>1466789.9200000002</v>
      </c>
      <c r="F104" s="86">
        <f>F63+F81+F91+F103</f>
        <v>0</v>
      </c>
      <c r="G104" s="86">
        <f>G63+G81+G103</f>
        <v>20110.02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26187178.420000002</v>
      </c>
      <c r="D109" s="24" t="s">
        <v>289</v>
      </c>
      <c r="E109" s="95">
        <f>('DOE25'!L276)+('DOE25'!L295)+('DOE25'!L314)</f>
        <v>420351.67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10951970.970000001</v>
      </c>
      <c r="D110" s="24" t="s">
        <v>289</v>
      </c>
      <c r="E110" s="95">
        <f>('DOE25'!L277)+('DOE25'!L296)+('DOE25'!L315)</f>
        <v>818566.62000000011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40724.78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960484.40999999992</v>
      </c>
      <c r="D112" s="24" t="s">
        <v>289</v>
      </c>
      <c r="E112" s="95">
        <f>+('DOE25'!L279)+('DOE25'!L298)+('DOE25'!L317)</f>
        <v>12314.68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187682.07</v>
      </c>
      <c r="D114" s="24" t="s">
        <v>289</v>
      </c>
      <c r="E114" s="95">
        <f>+ SUM('DOE25'!L333:L335)</f>
        <v>62334.580000000009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38328040.649999999</v>
      </c>
      <c r="D115" s="86">
        <f>SUM(D109:D114)</f>
        <v>0</v>
      </c>
      <c r="E115" s="86">
        <f>SUM(E109:E114)</f>
        <v>1313567.55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4566391.97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1463258.03</v>
      </c>
      <c r="D119" s="24" t="s">
        <v>289</v>
      </c>
      <c r="E119" s="95">
        <f>+('DOE25'!L282)+('DOE25'!L301)+('DOE25'!L320)</f>
        <v>157783.31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1981764.18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3867158.01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56479.72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4227794.3499999996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2746801.1399999997</v>
      </c>
      <c r="D124" s="24" t="s">
        <v>289</v>
      </c>
      <c r="E124" s="95">
        <f>+('DOE25'!L287)+('DOE25'!L306)+('DOE25'!L325)</f>
        <v>3858.76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389970.26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1475364.0999999999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19299617.66</v>
      </c>
      <c r="D128" s="86">
        <f>SUM(D118:D127)</f>
        <v>1475364.0999999999</v>
      </c>
      <c r="E128" s="86">
        <f>SUM(E118:E127)</f>
        <v>161642.07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768796.54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462000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65331.67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93.83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20016.189999999999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-20110.02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2896128.21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60523786.520000003</v>
      </c>
      <c r="D145" s="86">
        <f>(D115+D128+D144)</f>
        <v>1475364.0999999999</v>
      </c>
      <c r="E145" s="86">
        <f>(E115+E128+E144)</f>
        <v>1475209.62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4.25 to 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9600000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9600000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1600000</v>
      </c>
    </row>
    <row r="159" spans="1:9" x14ac:dyDescent="0.2">
      <c r="A159" s="22" t="s">
        <v>35</v>
      </c>
      <c r="B159" s="137">
        <f>'DOE25'!F498</f>
        <v>8000000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8000000</v>
      </c>
    </row>
    <row r="160" spans="1:9" x14ac:dyDescent="0.2">
      <c r="A160" s="22" t="s">
        <v>36</v>
      </c>
      <c r="B160" s="137">
        <f>'DOE25'!F499</f>
        <v>1050000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1050000</v>
      </c>
    </row>
    <row r="161" spans="1:7" x14ac:dyDescent="0.2">
      <c r="A161" s="22" t="s">
        <v>37</v>
      </c>
      <c r="B161" s="137">
        <f>'DOE25'!F500</f>
        <v>9050000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9050000</v>
      </c>
    </row>
    <row r="162" spans="1:7" x14ac:dyDescent="0.2">
      <c r="A162" s="22" t="s">
        <v>38</v>
      </c>
      <c r="B162" s="137">
        <f>'DOE25'!F501</f>
        <v>1600000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1600000</v>
      </c>
    </row>
    <row r="163" spans="1:7" x14ac:dyDescent="0.2">
      <c r="A163" s="22" t="s">
        <v>39</v>
      </c>
      <c r="B163" s="137">
        <f>'DOE25'!F502</f>
        <v>378000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378000</v>
      </c>
    </row>
    <row r="164" spans="1:7" x14ac:dyDescent="0.2">
      <c r="A164" s="22" t="s">
        <v>246</v>
      </c>
      <c r="B164" s="137">
        <f>'DOE25'!F503</f>
        <v>1978000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1978000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Timberlane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15481</v>
      </c>
    </row>
    <row r="5" spans="1:4" x14ac:dyDescent="0.2">
      <c r="B5" t="s">
        <v>704</v>
      </c>
      <c r="C5" s="179">
        <f>IF('DOE25'!G665+'DOE25'!G670=0,0,ROUND('DOE25'!G672,0))</f>
        <v>14796</v>
      </c>
    </row>
    <row r="6" spans="1:4" x14ac:dyDescent="0.2">
      <c r="B6" t="s">
        <v>62</v>
      </c>
      <c r="C6" s="179">
        <f>IF('DOE25'!H665+'DOE25'!H670=0,0,ROUND('DOE25'!H672,0))</f>
        <v>14205</v>
      </c>
    </row>
    <row r="7" spans="1:4" x14ac:dyDescent="0.2">
      <c r="B7" t="s">
        <v>705</v>
      </c>
      <c r="C7" s="179">
        <f>IF('DOE25'!I665+'DOE25'!I670=0,0,ROUND('DOE25'!I672,0))</f>
        <v>14867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26607530</v>
      </c>
      <c r="D10" s="182">
        <f>ROUND((C10/$C$28)*100,1)</f>
        <v>44.3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11770538</v>
      </c>
      <c r="D11" s="182">
        <f>ROUND((C11/$C$28)*100,1)</f>
        <v>19.600000000000001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40725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972799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4566392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1621041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2371734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3867158</v>
      </c>
      <c r="D18" s="182">
        <f t="shared" si="0"/>
        <v>6.4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56480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4227794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2750660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250017</v>
      </c>
      <c r="D24" s="182">
        <f t="shared" si="0"/>
        <v>0.4</v>
      </c>
    </row>
    <row r="25" spans="1:4" x14ac:dyDescent="0.2">
      <c r="A25">
        <v>5120</v>
      </c>
      <c r="B25" t="s">
        <v>720</v>
      </c>
      <c r="C25" s="179">
        <f>ROUND('DOE25'!L261+'DOE25'!L342,0)</f>
        <v>462000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506309.34000000008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60071177.340000004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768797</v>
      </c>
    </row>
    <row r="30" spans="1:4" x14ac:dyDescent="0.2">
      <c r="B30" s="187" t="s">
        <v>729</v>
      </c>
      <c r="C30" s="180">
        <f>SUM(C28:C29)</f>
        <v>60839974.340000004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1600000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40812703</v>
      </c>
      <c r="D35" s="182">
        <f t="shared" ref="D35:D40" si="1">ROUND((C35/$C$41)*100,1)</f>
        <v>63.6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1471175.5400000066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17581189</v>
      </c>
      <c r="D37" s="182">
        <f t="shared" si="1"/>
        <v>27.4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1785949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2568514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64219530.540000007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Timberlane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2015-12-29T13:29:36Z</cp:lastPrinted>
  <dcterms:created xsi:type="dcterms:W3CDTF">1997-12-04T19:04:30Z</dcterms:created>
  <dcterms:modified xsi:type="dcterms:W3CDTF">2015-12-29T13:30:13Z</dcterms:modified>
</cp:coreProperties>
</file>