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6605" windowHeight="80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521" i="1" l="1"/>
  <c r="H208" i="1"/>
  <c r="H498" i="1"/>
  <c r="G499" i="1"/>
  <c r="G498" i="1"/>
  <c r="F499" i="1"/>
  <c r="I197" i="1"/>
  <c r="I472" i="1"/>
  <c r="H472" i="1"/>
  <c r="I468" i="1"/>
  <c r="H468" i="1"/>
  <c r="G468" i="1"/>
  <c r="F468" i="1"/>
  <c r="F368" i="1"/>
  <c r="F367" i="1"/>
  <c r="I358" i="1"/>
  <c r="G132" i="1"/>
  <c r="G158" i="1"/>
  <c r="G97" i="1"/>
  <c r="H154" i="1"/>
  <c r="F109" i="1"/>
  <c r="G22" i="1"/>
  <c r="F50" i="1"/>
  <c r="F49" i="1"/>
  <c r="F28" i="1"/>
  <c r="F9" i="1"/>
  <c r="F498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29" i="1" s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H662" i="1" s="1"/>
  <c r="F17" i="13"/>
  <c r="G17" i="13"/>
  <c r="L251" i="1"/>
  <c r="D17" i="13" s="1"/>
  <c r="C17" i="13" s="1"/>
  <c r="F18" i="13"/>
  <c r="G18" i="13"/>
  <c r="D18" i="13" s="1"/>
  <c r="C18" i="13" s="1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L300" i="1"/>
  <c r="L301" i="1"/>
  <c r="L302" i="1"/>
  <c r="L303" i="1"/>
  <c r="L304" i="1"/>
  <c r="L305" i="1"/>
  <c r="E123" i="2" s="1"/>
  <c r="L306" i="1"/>
  <c r="L307" i="1"/>
  <c r="E125" i="2" s="1"/>
  <c r="L314" i="1"/>
  <c r="L315" i="1"/>
  <c r="L316" i="1"/>
  <c r="L317" i="1"/>
  <c r="L319" i="1"/>
  <c r="L320" i="1"/>
  <c r="L328" i="1" s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E143" i="2" s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L351" i="1" s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G552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57" i="2"/>
  <c r="E57" i="2"/>
  <c r="C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C119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H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F452" i="1"/>
  <c r="G452" i="1"/>
  <c r="H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I476" i="1" s="1"/>
  <c r="H625" i="1" s="1"/>
  <c r="J470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3" i="1"/>
  <c r="H627" i="1"/>
  <c r="H628" i="1"/>
  <c r="H629" i="1"/>
  <c r="H630" i="1"/>
  <c r="H631" i="1"/>
  <c r="H633" i="1"/>
  <c r="H636" i="1"/>
  <c r="H637" i="1"/>
  <c r="H638" i="1"/>
  <c r="G641" i="1"/>
  <c r="J641" i="1" s="1"/>
  <c r="G643" i="1"/>
  <c r="J643" i="1" s="1"/>
  <c r="G644" i="1"/>
  <c r="J644" i="1" s="1"/>
  <c r="H644" i="1"/>
  <c r="G645" i="1"/>
  <c r="G650" i="1"/>
  <c r="G651" i="1"/>
  <c r="G652" i="1"/>
  <c r="H652" i="1"/>
  <c r="G653" i="1"/>
  <c r="H653" i="1"/>
  <c r="G654" i="1"/>
  <c r="H654" i="1"/>
  <c r="H655" i="1"/>
  <c r="J655" i="1" s="1"/>
  <c r="D7" i="13"/>
  <c r="C7" i="13" s="1"/>
  <c r="E103" i="2"/>
  <c r="D19" i="13"/>
  <c r="C19" i="13" s="1"/>
  <c r="D14" i="13"/>
  <c r="C14" i="13" s="1"/>
  <c r="I169" i="1"/>
  <c r="J140" i="1"/>
  <c r="F571" i="1"/>
  <c r="I552" i="1"/>
  <c r="F22" i="13"/>
  <c r="C22" i="13" s="1"/>
  <c r="H192" i="1"/>
  <c r="L565" i="1"/>
  <c r="G545" i="1"/>
  <c r="J545" i="1" l="1"/>
  <c r="I545" i="1"/>
  <c r="K551" i="1"/>
  <c r="K549" i="1"/>
  <c r="H545" i="1"/>
  <c r="L524" i="1"/>
  <c r="G161" i="2"/>
  <c r="K503" i="1"/>
  <c r="J636" i="1"/>
  <c r="C29" i="10"/>
  <c r="J634" i="1"/>
  <c r="J651" i="1"/>
  <c r="I52" i="1"/>
  <c r="H620" i="1" s="1"/>
  <c r="J620" i="1" s="1"/>
  <c r="G408" i="1"/>
  <c r="H645" i="1" s="1"/>
  <c r="J645" i="1" s="1"/>
  <c r="C15" i="10"/>
  <c r="C18" i="10"/>
  <c r="C122" i="2"/>
  <c r="E16" i="13"/>
  <c r="C17" i="10"/>
  <c r="C91" i="2"/>
  <c r="C70" i="2"/>
  <c r="F112" i="1"/>
  <c r="G617" i="1"/>
  <c r="G164" i="2"/>
  <c r="G157" i="2"/>
  <c r="G156" i="2"/>
  <c r="K598" i="1"/>
  <c r="G647" i="1" s="1"/>
  <c r="L427" i="1"/>
  <c r="L401" i="1"/>
  <c r="C139" i="2" s="1"/>
  <c r="F461" i="1"/>
  <c r="H639" i="1" s="1"/>
  <c r="J639" i="1" s="1"/>
  <c r="H476" i="1"/>
  <c r="H624" i="1" s="1"/>
  <c r="J624" i="1" s="1"/>
  <c r="J476" i="1"/>
  <c r="H626" i="1" s="1"/>
  <c r="D127" i="2"/>
  <c r="D128" i="2" s="1"/>
  <c r="D145" i="2" s="1"/>
  <c r="D91" i="2"/>
  <c r="D81" i="2"/>
  <c r="E112" i="2"/>
  <c r="C19" i="10"/>
  <c r="L290" i="1"/>
  <c r="L338" i="1" s="1"/>
  <c r="L352" i="1" s="1"/>
  <c r="G633" i="1" s="1"/>
  <c r="J633" i="1" s="1"/>
  <c r="C16" i="10"/>
  <c r="F338" i="1"/>
  <c r="F352" i="1" s="1"/>
  <c r="E109" i="2"/>
  <c r="C25" i="10"/>
  <c r="L270" i="1"/>
  <c r="C11" i="10"/>
  <c r="L247" i="1"/>
  <c r="H660" i="1" s="1"/>
  <c r="C10" i="10"/>
  <c r="G649" i="1"/>
  <c r="D15" i="13"/>
  <c r="C15" i="13" s="1"/>
  <c r="H647" i="1"/>
  <c r="F662" i="1"/>
  <c r="I662" i="1" s="1"/>
  <c r="C21" i="10"/>
  <c r="C20" i="10"/>
  <c r="K257" i="1"/>
  <c r="K271" i="1" s="1"/>
  <c r="D6" i="13"/>
  <c r="C6" i="13" s="1"/>
  <c r="A40" i="12"/>
  <c r="C109" i="2"/>
  <c r="H257" i="1"/>
  <c r="H271" i="1" s="1"/>
  <c r="G257" i="1"/>
  <c r="G271" i="1" s="1"/>
  <c r="A13" i="12"/>
  <c r="D5" i="13"/>
  <c r="C5" i="13" s="1"/>
  <c r="F257" i="1"/>
  <c r="F271" i="1" s="1"/>
  <c r="F192" i="1"/>
  <c r="C78" i="2"/>
  <c r="C35" i="10"/>
  <c r="C62" i="2"/>
  <c r="C63" i="2" s="1"/>
  <c r="G625" i="1"/>
  <c r="J625" i="1" s="1"/>
  <c r="F18" i="2"/>
  <c r="D18" i="2"/>
  <c r="E31" i="2"/>
  <c r="C18" i="2"/>
  <c r="C16" i="13"/>
  <c r="E62" i="2"/>
  <c r="E63" i="2" s="1"/>
  <c r="L544" i="1"/>
  <c r="H661" i="1"/>
  <c r="C12" i="10"/>
  <c r="H112" i="1"/>
  <c r="H193" i="1" s="1"/>
  <c r="G629" i="1" s="1"/>
  <c r="J629" i="1" s="1"/>
  <c r="D29" i="13"/>
  <c r="C29" i="13" s="1"/>
  <c r="L309" i="1"/>
  <c r="J257" i="1"/>
  <c r="J271" i="1" s="1"/>
  <c r="D12" i="13"/>
  <c r="C12" i="13" s="1"/>
  <c r="H52" i="1"/>
  <c r="H619" i="1" s="1"/>
  <c r="J619" i="1" s="1"/>
  <c r="K550" i="1"/>
  <c r="L534" i="1"/>
  <c r="I460" i="1"/>
  <c r="I446" i="1"/>
  <c r="G642" i="1" s="1"/>
  <c r="C123" i="2"/>
  <c r="C114" i="2"/>
  <c r="C110" i="2"/>
  <c r="L211" i="1"/>
  <c r="L362" i="1"/>
  <c r="C13" i="10"/>
  <c r="H25" i="13"/>
  <c r="K500" i="1"/>
  <c r="I452" i="1"/>
  <c r="C121" i="2"/>
  <c r="C112" i="2"/>
  <c r="G661" i="1"/>
  <c r="E124" i="2"/>
  <c r="E128" i="2" s="1"/>
  <c r="D56" i="2"/>
  <c r="D63" i="2" s="1"/>
  <c r="C32" i="10"/>
  <c r="G112" i="1"/>
  <c r="E8" i="13"/>
  <c r="C8" i="13" s="1"/>
  <c r="C26" i="10"/>
  <c r="K338" i="1"/>
  <c r="K352" i="1" s="1"/>
  <c r="J649" i="1"/>
  <c r="C120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J19" i="1"/>
  <c r="G621" i="1" s="1"/>
  <c r="F33" i="13"/>
  <c r="G18" i="2"/>
  <c r="F545" i="1"/>
  <c r="H434" i="1"/>
  <c r="D103" i="2"/>
  <c r="I140" i="1"/>
  <c r="A22" i="12"/>
  <c r="H646" i="1"/>
  <c r="J652" i="1"/>
  <c r="G571" i="1"/>
  <c r="I434" i="1"/>
  <c r="G434" i="1"/>
  <c r="I663" i="1"/>
  <c r="K552" i="1" l="1"/>
  <c r="L545" i="1"/>
  <c r="C27" i="10"/>
  <c r="C28" i="10" s="1"/>
  <c r="D12" i="10" s="1"/>
  <c r="G472" i="1"/>
  <c r="I661" i="1"/>
  <c r="F104" i="2"/>
  <c r="C81" i="2"/>
  <c r="C104" i="2" s="1"/>
  <c r="F51" i="2"/>
  <c r="J647" i="1"/>
  <c r="E115" i="2"/>
  <c r="E145" i="2" s="1"/>
  <c r="F193" i="1"/>
  <c r="G627" i="1" s="1"/>
  <c r="J627" i="1" s="1"/>
  <c r="F51" i="1"/>
  <c r="C49" i="2"/>
  <c r="C50" i="2" s="1"/>
  <c r="C51" i="2" s="1"/>
  <c r="G104" i="2"/>
  <c r="G51" i="2"/>
  <c r="F660" i="1"/>
  <c r="I660" i="1" s="1"/>
  <c r="E104" i="2"/>
  <c r="H648" i="1"/>
  <c r="J648" i="1" s="1"/>
  <c r="C115" i="2"/>
  <c r="E51" i="2"/>
  <c r="C25" i="13"/>
  <c r="H33" i="13"/>
  <c r="D31" i="13"/>
  <c r="C31" i="13" s="1"/>
  <c r="G664" i="1"/>
  <c r="C128" i="2"/>
  <c r="L257" i="1"/>
  <c r="L271" i="1" s="1"/>
  <c r="I193" i="1"/>
  <c r="G630" i="1" s="1"/>
  <c r="J630" i="1" s="1"/>
  <c r="C36" i="10"/>
  <c r="H664" i="1"/>
  <c r="D104" i="2"/>
  <c r="G635" i="1"/>
  <c r="E33" i="13"/>
  <c r="D35" i="13" s="1"/>
  <c r="I461" i="1"/>
  <c r="H642" i="1" s="1"/>
  <c r="J642" i="1" s="1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32" i="1" l="1"/>
  <c r="F472" i="1"/>
  <c r="G474" i="1"/>
  <c r="G476" i="1" s="1"/>
  <c r="H623" i="1" s="1"/>
  <c r="J623" i="1" s="1"/>
  <c r="H635" i="1"/>
  <c r="J635" i="1" s="1"/>
  <c r="I664" i="1"/>
  <c r="I672" i="1" s="1"/>
  <c r="C7" i="10" s="1"/>
  <c r="G622" i="1"/>
  <c r="F52" i="1"/>
  <c r="H617" i="1" s="1"/>
  <c r="J617" i="1" s="1"/>
  <c r="F664" i="1"/>
  <c r="F667" i="1" s="1"/>
  <c r="D33" i="13"/>
  <c r="D36" i="13" s="1"/>
  <c r="C145" i="2"/>
  <c r="D16" i="10"/>
  <c r="D11" i="10"/>
  <c r="D17" i="10"/>
  <c r="D19" i="10"/>
  <c r="D22" i="10"/>
  <c r="D27" i="10"/>
  <c r="D26" i="10"/>
  <c r="D24" i="10"/>
  <c r="D15" i="10"/>
  <c r="C30" i="10"/>
  <c r="D20" i="10"/>
  <c r="D25" i="10"/>
  <c r="D10" i="10"/>
  <c r="D23" i="10"/>
  <c r="D13" i="10"/>
  <c r="D21" i="10"/>
  <c r="D18" i="10"/>
  <c r="G672" i="1"/>
  <c r="C5" i="10" s="1"/>
  <c r="G667" i="1"/>
  <c r="H667" i="1"/>
  <c r="H672" i="1"/>
  <c r="C6" i="10" s="1"/>
  <c r="C41" i="10"/>
  <c r="D38" i="10" s="1"/>
  <c r="I667" i="1" l="1"/>
  <c r="F474" i="1"/>
  <c r="F476" i="1" s="1"/>
  <c r="H622" i="1" s="1"/>
  <c r="J622" i="1" s="1"/>
  <c r="H632" i="1"/>
  <c r="J632" i="1"/>
  <c r="F672" i="1"/>
  <c r="C4" i="10" s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<sst xmlns="http://schemas.openxmlformats.org/spreadsheetml/2006/main" count="3962" uniqueCount="920">
  <si>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</si>
  <si>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</si>
  <si>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</si>
  <si>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</si>
  <si>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</si>
  <si>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</si>
  <si>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</si>
  <si>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</si>
  <si>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</si>
  <si>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</si>
  <si>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</si>
  <si>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</si>
  <si>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</si>
  <si>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</si>
  <si>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</si>
  <si>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</si>
  <si>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</si>
  <si>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</si>
  <si>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</si>
  <si>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</si>
  <si>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</si>
  <si>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</si>
  <si>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</si>
  <si>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</si>
  <si>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</si>
  <si>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</si>
  <si>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</si>
  <si>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</si>
  <si>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</si>
  <si>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</si>
  <si>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</si>
  <si>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</si>
  <si>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</si>
  <si>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</si>
  <si>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</si>
  <si>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</si>
  <si>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</si>
  <si>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</si>
  <si>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</si>
  <si>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</si>
  <si>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</si>
  <si>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</si>
  <si>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</si>
  <si>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</si>
  <si>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</si>
  <si>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</si>
  <si>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</si>
  <si>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</si>
  <si>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</si>
  <si>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</si>
  <si>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</si>
  <si>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</si>
  <si>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</si>
  <si>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</si>
  <si>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</si>
  <si>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</si>
  <si>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</si>
  <si>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</si>
  <si>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</si>
  <si>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</si>
  <si>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</si>
  <si>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</si>
  <si>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</si>
  <si>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</si>
  <si>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</si>
  <si>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</si>
  <si>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</si>
  <si>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</si>
  <si>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</si>
  <si>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</si>
  <si>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</si>
  <si>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</si>
  <si>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</si>
  <si>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</si>
  <si>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</si>
  <si>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</si>
  <si>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</si>
  <si>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</si>
  <si>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</si>
  <si>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</si>
  <si>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</si>
  <si>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</si>
  <si>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</si>
  <si>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</si>
  <si>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</si>
  <si>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</si>
  <si>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</si>
  <si>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</si>
  <si>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</si>
  <si>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</si>
  <si>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</si>
  <si>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</si>
  <si>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</si>
  <si>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</si>
  <si>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</si>
  <si>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</si>
  <si>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</si>
  <si>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</si>
  <si>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</si>
  <si>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</si>
  <si>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</si>
  <si>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</si>
  <si>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</si>
  <si>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</si>
  <si>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</si>
  <si>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</si>
  <si>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</si>
  <si>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</si>
  <si>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</si>
  <si>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</si>
  <si>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</si>
  <si>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</si>
  <si>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</si>
  <si>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</si>
  <si>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</si>
  <si>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</si>
  <si>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</si>
  <si>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</si>
  <si>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</si>
  <si>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</si>
  <si>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</si>
  <si>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</si>
  <si>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</si>
  <si>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</si>
  <si>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</si>
  <si>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</si>
  <si>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</si>
  <si>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</si>
  <si>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</si>
  <si>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</si>
  <si>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</si>
  <si>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</si>
  <si>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</si>
  <si>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</si>
  <si>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</si>
  <si>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</si>
  <si>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</si>
  <si>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</si>
  <si>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</si>
  <si>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</si>
  <si>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</si>
  <si>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</si>
  <si>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</si>
  <si>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</si>
  <si>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</si>
  <si>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</si>
  <si>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</si>
  <si>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</si>
  <si>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</si>
  <si>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</si>
  <si>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</si>
  <si>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</si>
  <si>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</si>
  <si>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</si>
  <si>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</si>
  <si>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</si>
  <si>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</si>
  <si>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</si>
  <si>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</si>
  <si>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</si>
  <si>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</si>
  <si>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</si>
  <si>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</si>
  <si>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</si>
  <si>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</si>
  <si>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</si>
  <si>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</si>
  <si>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</si>
  <si>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</si>
  <si>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</si>
  <si>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</si>
  <si>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</si>
  <si>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</si>
  <si>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</si>
  <si>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</si>
  <si>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</si>
  <si>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</si>
  <si>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</si>
  <si>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</si>
  <si>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</si>
  <si>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</si>
  <si>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</si>
  <si>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</si>
  <si>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</si>
  <si>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</si>
  <si>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</si>
  <si>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</si>
  <si>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</si>
  <si>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</si>
  <si>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</si>
  <si>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</si>
  <si>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</si>
  <si>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</si>
  <si>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</si>
  <si>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</si>
  <si>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</si>
  <si>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</si>
  <si>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</si>
  <si>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</si>
  <si>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</si>
  <si>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</si>
  <si>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</si>
  <si>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</si>
  <si>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</si>
  <si>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</si>
  <si>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</si>
  <si>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</si>
  <si>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</si>
  <si>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</si>
  <si>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</si>
  <si>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</si>
  <si>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</si>
  <si>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</si>
  <si>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</si>
  <si>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</si>
  <si>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</si>
  <si>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</si>
  <si>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</si>
  <si>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</si>
  <si>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</si>
  <si>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</si>
  <si>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</si>
  <si>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</si>
  <si>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</si>
  <si>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</si>
  <si>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</si>
  <si>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</si>
  <si>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</si>
  <si>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</si>
  <si>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</si>
  <si>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</si>
  <si>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</si>
  <si>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</si>
  <si>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</si>
  <si>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</si>
  <si>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</si>
  <si>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</si>
  <si>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</si>
  <si>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</si>
  <si>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</si>
  <si>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</si>
  <si>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</si>
  <si>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</si>
  <si>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</si>
  <si>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</si>
  <si>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</si>
  <si>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</si>
  <si>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</si>
  <si>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</si>
  <si>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</si>
  <si>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</si>
  <si>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</si>
  <si>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</si>
  <si>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</si>
  <si>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</si>
  <si>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</si>
  <si>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</si>
  <si>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</si>
  <si>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</si>
  <si>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</si>
  <si>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</si>
  <si>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</si>
  <si>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</si>
  <si>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</si>
  <si>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</si>
  <si>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</si>
  <si>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</si>
  <si>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</si>
  <si>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</si>
  <si>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</si>
  <si>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</si>
  <si>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</si>
  <si>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</si>
  <si>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</si>
  <si>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</si>
  <si>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</si>
  <si>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</si>
  <si>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</si>
  <si>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</si>
  <si>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</si>
  <si>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</si>
  <si>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</si>
  <si>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</si>
  <si>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</si>
  <si>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</si>
  <si>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</si>
  <si>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</si>
  <si>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</si>
  <si>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</si>
  <si>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</si>
  <si>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</si>
  <si>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</si>
  <si>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</si>
  <si>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</si>
  <si>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</si>
  <si>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</si>
  <si>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</si>
  <si>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</si>
  <si>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</si>
  <si>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</si>
  <si>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</si>
  <si>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</si>
  <si>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</si>
  <si>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</si>
  <si>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</si>
  <si>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</si>
  <si>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</si>
  <si>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</si>
  <si>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</si>
  <si>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</si>
  <si>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</si>
  <si>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</si>
  <si>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</si>
  <si>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</si>
  <si>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</si>
  <si>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</si>
  <si>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</si>
  <si>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</si>
  <si>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</si>
  <si>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</si>
  <si>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</si>
  <si>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</si>
  <si>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</si>
  <si>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</si>
  <si>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</si>
  <si>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</si>
  <si>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</si>
  <si>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</si>
  <si>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</si>
  <si>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</si>
  <si>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</si>
  <si>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</si>
  <si>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</si>
  <si>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</si>
  <si>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</si>
  <si>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</si>
  <si>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</si>
  <si>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</si>
  <si>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</si>
  <si>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</si>
  <si>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</si>
  <si>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</si>
  <si>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</si>
  <si>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</si>
  <si>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</si>
  <si>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</si>
  <si>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</si>
  <si>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</si>
  <si>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</si>
  <si>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</si>
  <si>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</si>
  <si>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</si>
  <si>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</si>
  <si>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</si>
  <si>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</si>
  <si>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</si>
  <si>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</si>
  <si>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</si>
  <si>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</si>
  <si>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</si>
  <si>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</si>
  <si>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</si>
  <si>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</si>
  <si>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</si>
  <si>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</si>
  <si>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</si>
  <si>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</si>
  <si>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</si>
  <si>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</si>
  <si>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</si>
  <si>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</si>
  <si>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</si>
  <si>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</si>
  <si>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</si>
  <si>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</si>
  <si>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</si>
  <si>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</si>
  <si>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</si>
  <si>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</si>
  <si>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</si>
  <si>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</si>
  <si>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</si>
  <si>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</si>
  <si>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</si>
  <si>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</si>
  <si>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</si>
  <si>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</si>
  <si>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</si>
  <si>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</si>
  <si>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</si>
  <si>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</si>
  <si>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</si>
  <si>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</si>
  <si>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</si>
  <si>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</si>
  <si>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</si>
  <si>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</si>
  <si>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</si>
  <si>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</si>
  <si>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</si>
  <si>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</si>
  <si>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</si>
  <si>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</si>
  <si>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</si>
  <si>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</si>
  <si>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</si>
  <si>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</si>
  <si>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</si>
  <si>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</si>
  <si>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</si>
  <si>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</si>
  <si>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</si>
  <si>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</si>
  <si>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</si>
  <si>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</si>
  <si>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</si>
  <si>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</si>
  <si>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</si>
  <si>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</si>
  <si>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</si>
  <si>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</si>
  <si>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</si>
  <si>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</si>
  <si>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</si>
  <si>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</si>
  <si>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</si>
  <si>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</si>
  <si>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</si>
  <si>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</si>
  <si>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</si>
  <si>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</si>
  <si>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</si>
  <si>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</si>
  <si>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</si>
  <si>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</si>
  <si>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</si>
  <si>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</si>
  <si>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</si>
  <si>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</si>
  <si>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</si>
  <si>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</si>
  <si>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</si>
  <si>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</si>
  <si>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</si>
  <si>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</si>
  <si>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</si>
  <si>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</si>
  <si>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</si>
  <si>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</si>
  <si>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</si>
  <si>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</si>
  <si>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</si>
  <si>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</si>
  <si>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</si>
  <si>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</si>
  <si>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</si>
  <si>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</si>
  <si>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</si>
  <si>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</si>
  <si>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</si>
  <si>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</si>
  <si>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</si>
  <si>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</si>
  <si>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</si>
  <si>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</si>
  <si>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</si>
  <si>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</si>
  <si>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</si>
  <si>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</si>
  <si>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</si>
  <si>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</si>
  <si>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</si>
  <si>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</si>
  <si>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</si>
  <si>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</si>
  <si>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</si>
  <si>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</si>
  <si>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</si>
  <si>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</si>
  <si>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</si>
  <si>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</si>
  <si>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</si>
  <si>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</si>
  <si>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</si>
  <si>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</si>
  <si>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</si>
  <si>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</si>
  <si>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</si>
  <si>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</si>
  <si>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</si>
  <si>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</si>
  <si>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</si>
  <si>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</si>
  <si>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</si>
  <si>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</si>
  <si>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</si>
  <si>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</si>
  <si>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</si>
  <si>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</si>
  <si>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</si>
  <si>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</si>
  <si>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</si>
  <si>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</si>
  <si>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</si>
  <si>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</si>
  <si>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</si>
  <si>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</si>
  <si>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</si>
  <si>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</si>
  <si>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</si>
  <si>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</si>
  <si>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</si>
  <si>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</si>
  <si>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</si>
  <si>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</si>
  <si>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</si>
  <si>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</si>
  <si>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</si>
  <si>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</si>
  <si>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</si>
  <si>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</si>
  <si>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</si>
  <si>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</si>
  <si>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</si>
  <si>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</si>
  <si>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</si>
  <si>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</si>
  <si>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</si>
  <si>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</si>
  <si>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</si>
  <si>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</si>
  <si>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</si>
  <si>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</si>
  <si>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</si>
  <si>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</si>
  <si>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</si>
  <si>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</si>
  <si>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</si>
  <si>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</si>
  <si>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</si>
  <si>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</si>
  <si>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</si>
  <si>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</si>
  <si>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</si>
  <si>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</si>
  <si>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</si>
  <si>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</si>
  <si>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</si>
  <si>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</si>
  <si>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</si>
  <si>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</si>
  <si>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</si>
  <si>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</si>
  <si>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</si>
  <si>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</si>
  <si>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</si>
  <si>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</si>
  <si>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</si>
  <si>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</si>
  <si>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</si>
  <si>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</si>
  <si>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</si>
  <si>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</si>
  <si>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</si>
  <si>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</si>
  <si>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</si>
  <si>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</si>
  <si>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</si>
  <si>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</si>
  <si>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</si>
  <si>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</si>
  <si>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</si>
  <si>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</si>
  <si>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</si>
  <si>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</si>
  <si>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</si>
  <si>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</si>
  <si>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</si>
  <si>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</si>
  <si>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</si>
  <si>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</si>
  <si>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</si>
  <si>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</si>
  <si>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</si>
  <si>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</si>
  <si>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</si>
  <si>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</si>
  <si>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</si>
  <si>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</si>
  <si>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</si>
  <si>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</si>
  <si>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</si>
  <si>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</si>
  <si>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</si>
  <si>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</si>
  <si>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</si>
  <si>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</si>
  <si>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</si>
  <si>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</si>
  <si>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</si>
  <si>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</si>
  <si>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</si>
  <si>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</si>
  <si>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</si>
  <si>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</si>
  <si>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</si>
  <si>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</si>
  <si>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</si>
  <si>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</si>
  <si>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</si>
  <si>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</si>
  <si>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</si>
  <si>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</si>
  <si>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</si>
  <si>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</si>
  <si>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</si>
  <si>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</si>
  <si>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</si>
  <si>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</si>
  <si>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</si>
  <si>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</si>
  <si>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</si>
  <si>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</si>
  <si>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</si>
  <si>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</si>
  <si>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</si>
  <si>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</si>
  <si>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</si>
  <si>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</si>
  <si>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</si>
  <si>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</si>
  <si>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</si>
  <si>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</si>
  <si>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</si>
  <si>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</si>
  <si>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</si>
  <si>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</si>
  <si>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</si>
  <si>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</si>
  <si>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</si>
  <si>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</si>
  <si>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</si>
  <si>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</si>
  <si>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</si>
  <si>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</si>
  <si>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</si>
  <si>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</si>
  <si>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</si>
  <si>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</si>
  <si>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</si>
  <si>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</si>
  <si>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</si>
  <si>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</si>
  <si>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</si>
  <si>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</si>
  <si>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</si>
  <si>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</si>
  <si>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</si>
  <si>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</si>
  <si>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</si>
  <si>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</si>
  <si>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</si>
  <si>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</si>
  <si>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</si>
  <si>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</si>
  <si>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</si>
  <si>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</si>
  <si>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</si>
  <si>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</si>
  <si>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</si>
  <si>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</si>
  <si>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</si>
  <si>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</si>
  <si>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</si>
  <si>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</si>
  <si>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</si>
  <si>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</si>
  <si>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</si>
  <si>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</si>
  <si>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</si>
  <si>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</si>
  <si>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</si>
  <si>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</si>
  <si>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</si>
  <si>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</si>
  <si>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</si>
  <si>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</si>
  <si>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</si>
  <si>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</si>
  <si>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</si>
  <si>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</si>
  <si>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</si>
  <si>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</si>
  <si>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</si>
  <si>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</si>
  <si>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</si>
  <si>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</si>
  <si>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</si>
  <si>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</si>
  <si>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</si>
  <si>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</si>
  <si>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</si>
  <si>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</si>
  <si>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</si>
  <si>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</si>
  <si>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</si>
  <si>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</si>
  <si>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</si>
  <si>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</si>
  <si>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</si>
  <si>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</si>
  <si>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</si>
  <si>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</si>
  <si>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</si>
  <si>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</si>
  <si>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</si>
  <si>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</si>
  <si>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</si>
  <si>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</si>
  <si>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</si>
  <si>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</si>
  <si>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</si>
  <si>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</si>
  <si>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</si>
  <si>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</si>
  <si>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</si>
  <si>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</si>
  <si>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</si>
  <si>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</si>
  <si>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</si>
  <si>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</si>
  <si>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</si>
  <si>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</si>
  <si>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</si>
  <si>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</si>
  <si>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</si>
  <si>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</si>
  <si>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</si>
  <si>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</si>
  <si>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</si>
  <si>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</si>
  <si>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</si>
  <si>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</si>
  <si>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</si>
  <si>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</si>
  <si>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</si>
  <si>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</si>
  <si>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</si>
  <si>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</si>
  <si>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</si>
  <si>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</si>
  <si>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</si>
  <si>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</si>
  <si>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</si>
  <si>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</si>
  <si>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</si>
  <si>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</si>
  <si>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</si>
  <si>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</si>
  <si>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</si>
  <si>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</si>
  <si>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</si>
  <si>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</si>
  <si>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</si>
  <si>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</si>
  <si>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</si>
  <si>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</si>
  <si>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</si>
  <si>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</si>
  <si>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</si>
  <si>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</si>
  <si>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</si>
  <si>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</si>
  <si>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</si>
  <si>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</si>
  <si>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</si>
  <si>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</si>
  <si>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</si>
  <si>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</si>
  <si>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</si>
  <si>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</si>
  <si>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</si>
  <si>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</si>
  <si>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</si>
  <si>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</si>
  <si>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</si>
  <si>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</si>
  <si>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</si>
  <si>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</si>
  <si>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</si>
  <si>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</si>
  <si>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</si>
  <si>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</si>
  <si>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</si>
  <si>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</si>
  <si>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</si>
  <si>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</si>
  <si>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</si>
  <si>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</si>
  <si>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</si>
  <si>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</si>
  <si>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</si>
  <si>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</si>
  <si>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</si>
  <si>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</si>
  <si>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</si>
  <si>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</si>
  <si>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</si>
  <si>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</si>
  <si>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</si>
  <si>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</si>
  <si>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</si>
  <si>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</si>
  <si>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</si>
  <si>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</si>
  <si>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</si>
  <si>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</si>
  <si>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</si>
  <si>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</si>
  <si>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</si>
  <si>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</si>
  <si>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</si>
  <si>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</si>
  <si>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</si>
  <si>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</si>
  <si>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</si>
  <si>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</si>
  <si>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</si>
  <si>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</si>
  <si>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</si>
  <si>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</si>
  <si>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</si>
  <si>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</si>
  <si>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</si>
  <si>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</si>
  <si>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</si>
  <si>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</si>
  <si>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</si>
  <si>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</si>
  <si>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</si>
  <si>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</si>
  <si>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</si>
  <si>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</si>
  <si>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</si>
  <si>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</si>
  <si>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</si>
  <si>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</si>
  <si>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</si>
  <si>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</si>
  <si>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</si>
  <si>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</si>
  <si>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</si>
  <si>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</si>
  <si>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</si>
  <si>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</si>
  <si>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</si>
  <si>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</si>
  <si>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</si>
  <si>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</si>
  <si>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</si>
  <si>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</si>
  <si>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</si>
  <si>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</si>
  <si>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</si>
  <si>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</si>
  <si>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</si>
  <si>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</si>
  <si>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</si>
  <si>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</si>
  <si>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</si>
  <si>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</si>
  <si>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</si>
  <si>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</si>
  <si>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</si>
  <si>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</si>
  <si>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</si>
  <si>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</si>
  <si>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</si>
  <si>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</si>
  <si>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</si>
  <si>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</si>
  <si>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</si>
  <si>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</si>
  <si>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</si>
  <si>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</si>
  <si>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</si>
  <si>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</si>
  <si>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</si>
  <si>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</si>
  <si>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</si>
  <si>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</si>
  <si>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</si>
  <si>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</si>
  <si>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</si>
  <si>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</si>
  <si>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</si>
  <si>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</si>
  <si>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</si>
  <si>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</si>
  <si>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</si>
  <si>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</si>
  <si>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</si>
  <si>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</si>
  <si>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</si>
  <si>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</si>
  <si>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</si>
  <si>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</si>
  <si>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</si>
  <si>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</si>
  <si>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</si>
  <si>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</si>
  <si>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Unity School District</t>
  </si>
  <si>
    <t>07/12</t>
  </si>
  <si>
    <t>08/32</t>
  </si>
  <si>
    <t>07/13</t>
  </si>
  <si>
    <t>07/33</t>
  </si>
  <si>
    <t>09/14</t>
  </si>
  <si>
    <t>09/34</t>
  </si>
  <si>
    <t>07/14</t>
  </si>
  <si>
    <t>07/34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</si>
</sst>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539</v>
      </c>
      <c r="C2" s="21">
        <v>539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478106.6</f>
        <v>478106.6</v>
      </c>
      <c r="G9" s="18"/>
      <c r="H9" s="18"/>
      <c r="I9" s="18">
        <v>53319.42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11574.97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1902.01</v>
      </c>
      <c r="H13" s="18">
        <v>9357.24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489681.56999999995</v>
      </c>
      <c r="G19" s="41">
        <f>SUM(G9:G18)</f>
        <v>1902.01</v>
      </c>
      <c r="H19" s="41">
        <f>SUM(H9:H18)</f>
        <v>9357.24</v>
      </c>
      <c r="I19" s="41">
        <f>SUM(I9:I18)</f>
        <v>53319.42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14722.12-12820.11</f>
        <v>1902.0100000000002</v>
      </c>
      <c r="H22" s="18">
        <v>9267.31</v>
      </c>
      <c r="I22" s="18">
        <v>405.65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77921.919999999998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13023.63+2252.15+466.71</f>
        <v>15742.489999999998</v>
      </c>
      <c r="G28" s="18"/>
      <c r="H28" s="18">
        <v>89.93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50000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143664.41</v>
      </c>
      <c r="G32" s="41">
        <f>SUM(G22:G31)</f>
        <v>1902.0100000000002</v>
      </c>
      <c r="H32" s="41">
        <f>SUM(H22:H31)</f>
        <v>9357.24</v>
      </c>
      <c r="I32" s="41">
        <f>SUM(I22:I31)</f>
        <v>405.65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52913.77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25865.25+6579.3+10503.81+200000</f>
        <v>242948.36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F19-F32-F49</f>
        <v>103068.79999999993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346017.15999999992</v>
      </c>
      <c r="G51" s="41">
        <f>SUM(G35:G50)</f>
        <v>0</v>
      </c>
      <c r="H51" s="41">
        <f>SUM(H35:H50)</f>
        <v>0</v>
      </c>
      <c r="I51" s="41">
        <f>SUM(I35:I50)</f>
        <v>52913.77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489681.56999999995</v>
      </c>
      <c r="G52" s="41">
        <f>G51+G32</f>
        <v>1902.0100000000002</v>
      </c>
      <c r="H52" s="41">
        <f>H51+H32</f>
        <v>9357.24</v>
      </c>
      <c r="I52" s="41">
        <f>I51+I32</f>
        <v>53319.42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1873805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1873805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852.79</v>
      </c>
      <c r="G96" s="18"/>
      <c r="H96" s="18"/>
      <c r="I96" s="18">
        <v>271.39</v>
      </c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26828.72+272.14</f>
        <v>27100.86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81.7+27856.79+18578.4+388.2</f>
        <v>46905.09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18702.07</v>
      </c>
      <c r="G110" s="18"/>
      <c r="H110" s="18"/>
      <c r="I110" s="18">
        <v>7327.48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66459.95</v>
      </c>
      <c r="G111" s="41">
        <f>SUM(G96:G110)</f>
        <v>27100.86</v>
      </c>
      <c r="H111" s="41">
        <f>SUM(H96:H110)</f>
        <v>0</v>
      </c>
      <c r="I111" s="41">
        <f>SUM(I96:I110)</f>
        <v>7598.87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1940264.95</v>
      </c>
      <c r="G112" s="41">
        <f>G60+G111</f>
        <v>27100.86</v>
      </c>
      <c r="H112" s="41">
        <f>H60+H79+H94+H111</f>
        <v>0</v>
      </c>
      <c r="I112" s="41">
        <f>I60+I111</f>
        <v>7598.87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867174.1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289392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1156566.1000000001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102963.97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172653.56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652.2+24.84+96.55</f>
        <v>773.59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275617.53000000003</v>
      </c>
      <c r="G136" s="41">
        <f>SUM(G123:G135)</f>
        <v>773.59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1432183.6300000001</v>
      </c>
      <c r="G140" s="41">
        <f>G121+SUM(G136:G137)</f>
        <v>773.59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1711.43+20524.76+4471.62+2.59</f>
        <v>26710.399999999998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5111.8599999999997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18522.96+5118.47+5885.41</f>
        <v>29526.84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53667.79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6354.04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53667.79</v>
      </c>
      <c r="G162" s="41">
        <f>SUM(G150:G161)</f>
        <v>29526.84</v>
      </c>
      <c r="H162" s="41">
        <f>SUM(H150:H161)</f>
        <v>38176.299999999996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53667.79</v>
      </c>
      <c r="G169" s="41">
        <f>G147+G162+SUM(G163:G168)</f>
        <v>29526.84</v>
      </c>
      <c r="H169" s="41">
        <f>H147+H162+SUM(H163:H168)</f>
        <v>38176.299999999996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2011371.28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2011371.28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12998.77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12998.77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12998.77</v>
      </c>
      <c r="H192" s="41">
        <f>+H183+SUM(H188:H191)</f>
        <v>0</v>
      </c>
      <c r="I192" s="41">
        <f>I177+I183+SUM(I188:I191)</f>
        <v>2011371.28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3426116.37</v>
      </c>
      <c r="G193" s="47">
        <f>G112+G140+G169+G192</f>
        <v>70400.06</v>
      </c>
      <c r="H193" s="47">
        <f>H112+H140+H169+H192</f>
        <v>38176.299999999996</v>
      </c>
      <c r="I193" s="47">
        <f>I112+I140+I169+I192</f>
        <v>2018970.1500000001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350197.36</v>
      </c>
      <c r="G197" s="18">
        <v>238236.69</v>
      </c>
      <c r="H197" s="18">
        <v>4722.3599999999997</v>
      </c>
      <c r="I197" s="18">
        <f>0.31+32866.91</f>
        <v>32867.22</v>
      </c>
      <c r="J197" s="18">
        <v>63388.800000000003</v>
      </c>
      <c r="K197" s="18"/>
      <c r="L197" s="19">
        <f>SUM(F197:K197)</f>
        <v>689412.43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104365.5</v>
      </c>
      <c r="G198" s="18">
        <v>51950.28</v>
      </c>
      <c r="H198" s="18">
        <v>152748.99</v>
      </c>
      <c r="I198" s="18">
        <v>370.8</v>
      </c>
      <c r="J198" s="18"/>
      <c r="K198" s="18"/>
      <c r="L198" s="19">
        <f>SUM(F198:K198)</f>
        <v>309435.57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2825</v>
      </c>
      <c r="G200" s="18">
        <v>279.45999999999998</v>
      </c>
      <c r="H200" s="18"/>
      <c r="I200" s="18">
        <v>2083.4499999999998</v>
      </c>
      <c r="J200" s="18"/>
      <c r="K200" s="18"/>
      <c r="L200" s="19">
        <f>SUM(F200:K200)</f>
        <v>5187.91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14590.22</v>
      </c>
      <c r="G202" s="18">
        <v>2912.59</v>
      </c>
      <c r="H202" s="18"/>
      <c r="I202" s="18">
        <v>75.86</v>
      </c>
      <c r="J202" s="18"/>
      <c r="K202" s="18"/>
      <c r="L202" s="19">
        <f t="shared" ref="L202:L208" si="0">SUM(F202:K202)</f>
        <v>17578.669999999998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29145.5</v>
      </c>
      <c r="G203" s="18">
        <v>13693.76</v>
      </c>
      <c r="H203" s="18">
        <v>16150.73</v>
      </c>
      <c r="I203" s="18">
        <v>3069.18</v>
      </c>
      <c r="J203" s="18">
        <v>290</v>
      </c>
      <c r="K203" s="18"/>
      <c r="L203" s="19">
        <f t="shared" si="0"/>
        <v>62349.170000000006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2590.77</v>
      </c>
      <c r="G204" s="18">
        <v>143.99</v>
      </c>
      <c r="H204" s="18">
        <v>203915.1</v>
      </c>
      <c r="I204" s="18">
        <v>58</v>
      </c>
      <c r="J204" s="18"/>
      <c r="K204" s="18">
        <v>920.59</v>
      </c>
      <c r="L204" s="19">
        <f t="shared" si="0"/>
        <v>207628.45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95185.71</v>
      </c>
      <c r="G205" s="18">
        <v>44091.9</v>
      </c>
      <c r="H205" s="18">
        <v>4692.2</v>
      </c>
      <c r="I205" s="18">
        <v>2319.34</v>
      </c>
      <c r="J205" s="18"/>
      <c r="K205" s="18">
        <v>7567.74</v>
      </c>
      <c r="L205" s="19">
        <f t="shared" si="0"/>
        <v>153856.89000000001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40158.019999999997</v>
      </c>
      <c r="G207" s="18">
        <v>13450.64</v>
      </c>
      <c r="H207" s="18">
        <v>50116.639999999999</v>
      </c>
      <c r="I207" s="18">
        <v>57163.05</v>
      </c>
      <c r="J207" s="18">
        <v>3466.67</v>
      </c>
      <c r="K207" s="18"/>
      <c r="L207" s="19">
        <f t="shared" si="0"/>
        <v>164355.01999999999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104622.75+7876.24</f>
        <v>112498.99</v>
      </c>
      <c r="I208" s="18"/>
      <c r="J208" s="18"/>
      <c r="K208" s="18"/>
      <c r="L208" s="19">
        <f t="shared" si="0"/>
        <v>112498.99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639058.07999999996</v>
      </c>
      <c r="G211" s="41">
        <f t="shared" si="1"/>
        <v>364759.31000000006</v>
      </c>
      <c r="H211" s="41">
        <f t="shared" si="1"/>
        <v>544845.01</v>
      </c>
      <c r="I211" s="41">
        <f t="shared" si="1"/>
        <v>98006.900000000009</v>
      </c>
      <c r="J211" s="41">
        <f t="shared" si="1"/>
        <v>67145.47</v>
      </c>
      <c r="K211" s="41">
        <f t="shared" si="1"/>
        <v>8488.33</v>
      </c>
      <c r="L211" s="41">
        <f t="shared" si="1"/>
        <v>1722303.0999999999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740037.1</v>
      </c>
      <c r="I233" s="18"/>
      <c r="J233" s="18"/>
      <c r="K233" s="18"/>
      <c r="L233" s="19">
        <f>SUM(F233:K233)</f>
        <v>740037.1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420066.85</v>
      </c>
      <c r="I234" s="18"/>
      <c r="J234" s="18"/>
      <c r="K234" s="18"/>
      <c r="L234" s="19">
        <f>SUM(F234:K234)</f>
        <v>420066.85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32993.82</v>
      </c>
      <c r="I244" s="18"/>
      <c r="J244" s="18"/>
      <c r="K244" s="18"/>
      <c r="L244" s="19">
        <f t="shared" si="4"/>
        <v>32993.82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1193097.77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1193097.77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639058.07999999996</v>
      </c>
      <c r="G257" s="41">
        <f t="shared" si="8"/>
        <v>364759.31000000006</v>
      </c>
      <c r="H257" s="41">
        <f t="shared" si="8"/>
        <v>1737942.78</v>
      </c>
      <c r="I257" s="41">
        <f t="shared" si="8"/>
        <v>98006.900000000009</v>
      </c>
      <c r="J257" s="41">
        <f t="shared" si="8"/>
        <v>67145.47</v>
      </c>
      <c r="K257" s="41">
        <f t="shared" si="8"/>
        <v>8488.33</v>
      </c>
      <c r="L257" s="41">
        <f t="shared" si="8"/>
        <v>2915400.87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257500</v>
      </c>
      <c r="L260" s="19">
        <f>SUM(F260:K260)</f>
        <v>257500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224932.57</v>
      </c>
      <c r="L261" s="19">
        <f>SUM(F261:K261)</f>
        <v>224932.57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12998.77</v>
      </c>
      <c r="L263" s="19">
        <f>SUM(F263:K263)</f>
        <v>12998.77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495431.34</v>
      </c>
      <c r="L270" s="41">
        <f t="shared" si="9"/>
        <v>495431.34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639058.07999999996</v>
      </c>
      <c r="G271" s="42">
        <f t="shared" si="11"/>
        <v>364759.31000000006</v>
      </c>
      <c r="H271" s="42">
        <f t="shared" si="11"/>
        <v>1737942.78</v>
      </c>
      <c r="I271" s="42">
        <f t="shared" si="11"/>
        <v>98006.900000000009</v>
      </c>
      <c r="J271" s="42">
        <f t="shared" si="11"/>
        <v>67145.47</v>
      </c>
      <c r="K271" s="42">
        <f t="shared" si="11"/>
        <v>503919.67000000004</v>
      </c>
      <c r="L271" s="42">
        <f t="shared" si="11"/>
        <v>3410832.21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1904.54</v>
      </c>
      <c r="G276" s="18">
        <v>780.74</v>
      </c>
      <c r="H276" s="18"/>
      <c r="I276" s="18">
        <v>19332.939999999999</v>
      </c>
      <c r="J276" s="18"/>
      <c r="K276" s="18"/>
      <c r="L276" s="19">
        <f>SUM(F276:K276)</f>
        <v>22018.219999999998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3150</v>
      </c>
      <c r="G281" s="18">
        <v>454.59</v>
      </c>
      <c r="H281" s="18">
        <v>11501.79</v>
      </c>
      <c r="I281" s="18">
        <v>69.47</v>
      </c>
      <c r="J281" s="18"/>
      <c r="K281" s="18"/>
      <c r="L281" s="19">
        <f t="shared" ref="L281:L287" si="12">SUM(F281:K281)</f>
        <v>15175.85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982.23</v>
      </c>
      <c r="L285" s="19">
        <f t="shared" si="12"/>
        <v>982.23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5054.54</v>
      </c>
      <c r="G290" s="42">
        <f t="shared" si="13"/>
        <v>1235.33</v>
      </c>
      <c r="H290" s="42">
        <f t="shared" si="13"/>
        <v>11501.79</v>
      </c>
      <c r="I290" s="42">
        <f t="shared" si="13"/>
        <v>19402.41</v>
      </c>
      <c r="J290" s="42">
        <f t="shared" si="13"/>
        <v>0</v>
      </c>
      <c r="K290" s="42">
        <f t="shared" si="13"/>
        <v>982.23</v>
      </c>
      <c r="L290" s="41">
        <f t="shared" si="13"/>
        <v>38176.300000000003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5054.54</v>
      </c>
      <c r="G338" s="41">
        <f t="shared" si="20"/>
        <v>1235.33</v>
      </c>
      <c r="H338" s="41">
        <f t="shared" si="20"/>
        <v>11501.79</v>
      </c>
      <c r="I338" s="41">
        <f t="shared" si="20"/>
        <v>19402.41</v>
      </c>
      <c r="J338" s="41">
        <f t="shared" si="20"/>
        <v>0</v>
      </c>
      <c r="K338" s="41">
        <f t="shared" si="20"/>
        <v>982.23</v>
      </c>
      <c r="L338" s="41">
        <f t="shared" si="20"/>
        <v>38176.300000000003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5054.54</v>
      </c>
      <c r="G352" s="41">
        <f>G338</f>
        <v>1235.33</v>
      </c>
      <c r="H352" s="41">
        <f>H338</f>
        <v>11501.79</v>
      </c>
      <c r="I352" s="41">
        <f>I338</f>
        <v>19402.41</v>
      </c>
      <c r="J352" s="41">
        <f>J338</f>
        <v>0</v>
      </c>
      <c r="K352" s="47">
        <f>K338+K351</f>
        <v>982.23</v>
      </c>
      <c r="L352" s="41">
        <f>L338+L351</f>
        <v>38176.300000000003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64848.99</v>
      </c>
      <c r="I358" s="18">
        <f>80.8+374.84+5095.43</f>
        <v>5551.0700000000006</v>
      </c>
      <c r="J358" s="18"/>
      <c r="K358" s="18"/>
      <c r="L358" s="13">
        <f>SUM(F358:K358)</f>
        <v>70400.06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64848.99</v>
      </c>
      <c r="I362" s="47">
        <f t="shared" si="22"/>
        <v>5551.0700000000006</v>
      </c>
      <c r="J362" s="47">
        <f t="shared" si="22"/>
        <v>0</v>
      </c>
      <c r="K362" s="47">
        <f t="shared" si="22"/>
        <v>0</v>
      </c>
      <c r="L362" s="47">
        <f t="shared" si="22"/>
        <v>70400.06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5095.43</f>
        <v>5095.43</v>
      </c>
      <c r="G367" s="18"/>
      <c r="H367" s="18"/>
      <c r="I367" s="56">
        <f>SUM(F367:H367)</f>
        <v>5095.43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80.8+374.84</f>
        <v>455.64</v>
      </c>
      <c r="G368" s="63"/>
      <c r="H368" s="63"/>
      <c r="I368" s="56">
        <f>SUM(F368:H368)</f>
        <v>455.64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5551.0700000000006</v>
      </c>
      <c r="G369" s="47">
        <f>SUM(G367:G368)</f>
        <v>0</v>
      </c>
      <c r="H369" s="47">
        <f>SUM(H367:H368)</f>
        <v>0</v>
      </c>
      <c r="I369" s="47">
        <f>SUM(I367:I368)</f>
        <v>5551.0700000000006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1934926.52</v>
      </c>
      <c r="I378" s="18"/>
      <c r="J378" s="18">
        <v>90460.09</v>
      </c>
      <c r="K378" s="18">
        <v>18401.5</v>
      </c>
      <c r="L378" s="13">
        <f t="shared" si="23"/>
        <v>2043788.11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1934926.52</v>
      </c>
      <c r="I382" s="41">
        <f t="shared" si="24"/>
        <v>0</v>
      </c>
      <c r="J382" s="47">
        <f t="shared" si="24"/>
        <v>90460.09</v>
      </c>
      <c r="K382" s="47">
        <f t="shared" si="24"/>
        <v>18401.5</v>
      </c>
      <c r="L382" s="47">
        <f t="shared" si="24"/>
        <v>2043788.11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330733</v>
      </c>
      <c r="G465" s="18">
        <v>0</v>
      </c>
      <c r="H465" s="18">
        <v>0</v>
      </c>
      <c r="I465" s="18">
        <v>77731.73</v>
      </c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3426116.37</v>
      </c>
      <c r="G468" s="18">
        <f>G193</f>
        <v>70400.06</v>
      </c>
      <c r="H468" s="18">
        <f>H193</f>
        <v>38176.299999999996</v>
      </c>
      <c r="I468" s="18">
        <f>I193</f>
        <v>2018970.1500000001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3426116.37</v>
      </c>
      <c r="G470" s="53">
        <f>SUM(G468:G469)</f>
        <v>70400.06</v>
      </c>
      <c r="H470" s="53">
        <f>SUM(H468:H469)</f>
        <v>38176.299999999996</v>
      </c>
      <c r="I470" s="53">
        <f>SUM(I468:I469)</f>
        <v>2018970.1500000001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3410832.21</v>
      </c>
      <c r="G472" s="18">
        <f>L362</f>
        <v>70400.06</v>
      </c>
      <c r="H472" s="18">
        <f>L338</f>
        <v>38176.300000000003</v>
      </c>
      <c r="I472" s="18">
        <f>L382</f>
        <v>2043788.11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3410832.21</v>
      </c>
      <c r="G474" s="53">
        <f>SUM(G472:G473)</f>
        <v>70400.06</v>
      </c>
      <c r="H474" s="53">
        <f>SUM(H472:H473)</f>
        <v>38176.300000000003</v>
      </c>
      <c r="I474" s="53">
        <f>SUM(I472:I473)</f>
        <v>2043788.11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346017.16000000015</v>
      </c>
      <c r="G476" s="53">
        <f>(G465+G470)- G474</f>
        <v>0</v>
      </c>
      <c r="H476" s="53">
        <f>(H465+H470)- H474</f>
        <v>0</v>
      </c>
      <c r="I476" s="53">
        <f>(I465+I470)- I474</f>
        <v>52913.770000000019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5" t="s">
        <v>916</v>
      </c>
      <c r="I491" s="155" t="s">
        <v>918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5" t="s">
        <v>917</v>
      </c>
      <c r="I492" s="155" t="s">
        <v>919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4571850</v>
      </c>
      <c r="G493" s="18">
        <v>550000</v>
      </c>
      <c r="H493" s="18">
        <v>738629</v>
      </c>
      <c r="I493" s="18">
        <v>1800000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>
        <v>3.25</v>
      </c>
      <c r="H494" s="18">
        <v>3.25</v>
      </c>
      <c r="I494" s="18">
        <v>4.5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4340000</v>
      </c>
      <c r="G495" s="18">
        <v>550000</v>
      </c>
      <c r="H495" s="18">
        <v>0</v>
      </c>
      <c r="I495" s="18">
        <v>0</v>
      </c>
      <c r="J495" s="18"/>
      <c r="K495" s="53">
        <f>SUM(F495:J495)</f>
        <v>4890000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738629</v>
      </c>
      <c r="I496" s="18">
        <v>1800000</v>
      </c>
      <c r="J496" s="18"/>
      <c r="K496" s="53">
        <f t="shared" ref="K496:K503" si="35">SUM(F496:J496)</f>
        <v>2538629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230000</v>
      </c>
      <c r="G497" s="18">
        <v>27500</v>
      </c>
      <c r="H497" s="18">
        <v>0</v>
      </c>
      <c r="I497" s="18">
        <v>0</v>
      </c>
      <c r="J497" s="18"/>
      <c r="K497" s="53">
        <f t="shared" si="35"/>
        <v>257500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4110000</v>
      </c>
      <c r="G498" s="204">
        <f>G495-G497</f>
        <v>522500</v>
      </c>
      <c r="H498" s="204">
        <f>H496-H497</f>
        <v>738629</v>
      </c>
      <c r="I498" s="204">
        <v>1800000</v>
      </c>
      <c r="J498" s="204"/>
      <c r="K498" s="205">
        <f t="shared" si="35"/>
        <v>7171129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1449897.04-147193.76</f>
        <v>1302703.28</v>
      </c>
      <c r="G499" s="18">
        <f>178798.97-17424.45</f>
        <v>161374.51999999999</v>
      </c>
      <c r="H499" s="18"/>
      <c r="I499" s="18"/>
      <c r="J499" s="18"/>
      <c r="K499" s="53">
        <f t="shared" si="35"/>
        <v>1464077.8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5412703.2800000003</v>
      </c>
      <c r="G500" s="42">
        <f>SUM(G498:G499)</f>
        <v>683874.52</v>
      </c>
      <c r="H500" s="42">
        <f>SUM(H498:H499)</f>
        <v>738629</v>
      </c>
      <c r="I500" s="42">
        <f>SUM(I498:I499)</f>
        <v>1800000</v>
      </c>
      <c r="J500" s="42">
        <f>SUM(J498:J499)</f>
        <v>0</v>
      </c>
      <c r="K500" s="42">
        <f t="shared" si="35"/>
        <v>8635206.8000000007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230000</v>
      </c>
      <c r="G501" s="204">
        <v>27500</v>
      </c>
      <c r="H501" s="204">
        <v>36931.449999999997</v>
      </c>
      <c r="I501" s="204">
        <v>95000</v>
      </c>
      <c r="J501" s="204"/>
      <c r="K501" s="205">
        <f t="shared" si="35"/>
        <v>389431.45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139143.76</v>
      </c>
      <c r="G502" s="18">
        <v>16530.7</v>
      </c>
      <c r="H502" s="18">
        <v>24191.56</v>
      </c>
      <c r="I502" s="18">
        <v>80617.5</v>
      </c>
      <c r="J502" s="18"/>
      <c r="K502" s="53">
        <f t="shared" si="35"/>
        <v>260483.52000000002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369143.76</v>
      </c>
      <c r="G503" s="42">
        <f>SUM(G501:G502)</f>
        <v>44030.7</v>
      </c>
      <c r="H503" s="42">
        <f>SUM(H501:H502)</f>
        <v>61123.009999999995</v>
      </c>
      <c r="I503" s="42">
        <f>SUM(I501:I502)</f>
        <v>175617.5</v>
      </c>
      <c r="J503" s="42">
        <f>SUM(J501:J502)</f>
        <v>0</v>
      </c>
      <c r="K503" s="42">
        <f t="shared" si="35"/>
        <v>649914.97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104365.5</v>
      </c>
      <c r="G521" s="18">
        <v>51950.28</v>
      </c>
      <c r="H521" s="18">
        <f>-35012.32+152748.99</f>
        <v>117736.66999999998</v>
      </c>
      <c r="I521" s="18">
        <v>370.8</v>
      </c>
      <c r="J521" s="18"/>
      <c r="K521" s="18"/>
      <c r="L521" s="88">
        <f>SUM(F521:K521)</f>
        <v>274423.24999999994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420066.85</v>
      </c>
      <c r="I523" s="18"/>
      <c r="J523" s="18"/>
      <c r="K523" s="18"/>
      <c r="L523" s="88">
        <f>SUM(F523:K523)</f>
        <v>420066.85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104365.5</v>
      </c>
      <c r="G524" s="108">
        <f t="shared" ref="G524:L524" si="36">SUM(G521:G523)</f>
        <v>51950.28</v>
      </c>
      <c r="H524" s="108">
        <f t="shared" si="36"/>
        <v>537803.52000000002</v>
      </c>
      <c r="I524" s="108">
        <f t="shared" si="36"/>
        <v>370.8</v>
      </c>
      <c r="J524" s="108">
        <f t="shared" si="36"/>
        <v>0</v>
      </c>
      <c r="K524" s="108">
        <f t="shared" si="36"/>
        <v>0</v>
      </c>
      <c r="L524" s="89">
        <f t="shared" si="36"/>
        <v>694490.09999999986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35012.32</v>
      </c>
      <c r="I526" s="18"/>
      <c r="J526" s="18"/>
      <c r="K526" s="18"/>
      <c r="L526" s="88">
        <f>SUM(F526:K526)</f>
        <v>35012.32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35012.32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35012.32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11986.39</v>
      </c>
      <c r="G531" s="18">
        <v>5581.81</v>
      </c>
      <c r="H531" s="18">
        <v>432.9</v>
      </c>
      <c r="I531" s="18">
        <v>104.58</v>
      </c>
      <c r="J531" s="18">
        <v>325.14999999999998</v>
      </c>
      <c r="K531" s="18"/>
      <c r="L531" s="88">
        <f>SUM(F531:K531)</f>
        <v>18430.830000000005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11986.39</v>
      </c>
      <c r="G534" s="89">
        <f t="shared" ref="G534:L534" si="38">SUM(G531:G533)</f>
        <v>5581.81</v>
      </c>
      <c r="H534" s="89">
        <f t="shared" si="38"/>
        <v>432.9</v>
      </c>
      <c r="I534" s="89">
        <f t="shared" si="38"/>
        <v>104.58</v>
      </c>
      <c r="J534" s="89">
        <f t="shared" si="38"/>
        <v>325.14999999999998</v>
      </c>
      <c r="K534" s="89">
        <f t="shared" si="38"/>
        <v>0</v>
      </c>
      <c r="L534" s="89">
        <f t="shared" si="38"/>
        <v>18430.830000000005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25477.119999999999</v>
      </c>
      <c r="I541" s="18"/>
      <c r="J541" s="18"/>
      <c r="K541" s="18"/>
      <c r="L541" s="88">
        <f>SUM(F541:K541)</f>
        <v>25477.119999999999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32993.82</v>
      </c>
      <c r="I543" s="18"/>
      <c r="J543" s="18"/>
      <c r="K543" s="18"/>
      <c r="L543" s="88">
        <f>SUM(F543:K543)</f>
        <v>32993.82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58470.94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58470.94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116351.89</v>
      </c>
      <c r="G545" s="89">
        <f t="shared" ref="G545:L545" si="41">G524+G529+G534+G539+G544</f>
        <v>57532.09</v>
      </c>
      <c r="H545" s="89">
        <f t="shared" si="41"/>
        <v>631719.67999999993</v>
      </c>
      <c r="I545" s="89">
        <f t="shared" si="41"/>
        <v>475.38</v>
      </c>
      <c r="J545" s="89">
        <f t="shared" si="41"/>
        <v>325.14999999999998</v>
      </c>
      <c r="K545" s="89">
        <f t="shared" si="41"/>
        <v>0</v>
      </c>
      <c r="L545" s="89">
        <f t="shared" si="41"/>
        <v>806404.18999999971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274423.24999999994</v>
      </c>
      <c r="G549" s="87">
        <f>L526</f>
        <v>35012.32</v>
      </c>
      <c r="H549" s="87">
        <f>L531</f>
        <v>18430.830000000005</v>
      </c>
      <c r="I549" s="87">
        <f>L536</f>
        <v>0</v>
      </c>
      <c r="J549" s="87">
        <f>L541</f>
        <v>25477.119999999999</v>
      </c>
      <c r="K549" s="87">
        <f>SUM(F549:J549)</f>
        <v>353343.51999999996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420066.85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32993.82</v>
      </c>
      <c r="K551" s="87">
        <f>SUM(F551:J551)</f>
        <v>453060.67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694490.09999999986</v>
      </c>
      <c r="G552" s="89">
        <f t="shared" si="42"/>
        <v>35012.32</v>
      </c>
      <c r="H552" s="89">
        <f t="shared" si="42"/>
        <v>18430.830000000005</v>
      </c>
      <c r="I552" s="89">
        <f t="shared" si="42"/>
        <v>0</v>
      </c>
      <c r="J552" s="89">
        <f t="shared" si="42"/>
        <v>58470.94</v>
      </c>
      <c r="K552" s="89">
        <f t="shared" si="42"/>
        <v>806404.19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740037.1</v>
      </c>
      <c r="I575" s="87">
        <f>SUM(F575:H575)</f>
        <v>740037.1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47624.22</v>
      </c>
      <c r="G579" s="18"/>
      <c r="H579" s="18">
        <v>401635.34</v>
      </c>
      <c r="I579" s="87">
        <f t="shared" si="47"/>
        <v>449259.56000000006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69650</v>
      </c>
      <c r="G580" s="18"/>
      <c r="H580" s="18">
        <v>18431.509999999998</v>
      </c>
      <c r="I580" s="87">
        <f t="shared" si="47"/>
        <v>88081.51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83064.25</v>
      </c>
      <c r="I591" s="18"/>
      <c r="J591" s="18"/>
      <c r="K591" s="104">
        <f t="shared" ref="K591:K597" si="48">SUM(H591:J591)</f>
        <v>83064.25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25477.119999999999</v>
      </c>
      <c r="I592" s="18"/>
      <c r="J592" s="18">
        <v>32993.82</v>
      </c>
      <c r="K592" s="104">
        <f t="shared" si="48"/>
        <v>58470.94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3957.62</v>
      </c>
      <c r="I595" s="18"/>
      <c r="J595" s="18"/>
      <c r="K595" s="104">
        <f t="shared" si="48"/>
        <v>3957.62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112498.98999999999</v>
      </c>
      <c r="I598" s="108">
        <f>SUM(I591:I597)</f>
        <v>0</v>
      </c>
      <c r="J598" s="108">
        <f>SUM(J591:J597)</f>
        <v>32993.82</v>
      </c>
      <c r="K598" s="108">
        <f>SUM(K591:K597)</f>
        <v>145492.81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67145.47</v>
      </c>
      <c r="I604" s="18"/>
      <c r="J604" s="18"/>
      <c r="K604" s="104">
        <f>SUM(H604:J604)</f>
        <v>67145.47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67145.47</v>
      </c>
      <c r="I605" s="108">
        <f>SUM(I602:I604)</f>
        <v>0</v>
      </c>
      <c r="J605" s="108">
        <f>SUM(J602:J604)</f>
        <v>0</v>
      </c>
      <c r="K605" s="108">
        <f>SUM(K602:K604)</f>
        <v>67145.47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489681.56999999995</v>
      </c>
      <c r="H617" s="109">
        <f>SUM(F52)</f>
        <v>489681.56999999995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1902.01</v>
      </c>
      <c r="H618" s="109">
        <f>SUM(G52)</f>
        <v>1902.0100000000002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9357.24</v>
      </c>
      <c r="H619" s="109">
        <f>SUM(H52)</f>
        <v>9357.24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53319.42</v>
      </c>
      <c r="H620" s="109">
        <f>SUM(I52)</f>
        <v>53319.42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346017.15999999992</v>
      </c>
      <c r="H622" s="109">
        <f>F476</f>
        <v>346017.16000000015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52913.77</v>
      </c>
      <c r="H625" s="109">
        <f>I476</f>
        <v>52913.770000000019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3426116.37</v>
      </c>
      <c r="H627" s="104">
        <f>SUM(F468)</f>
        <v>3426116.37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70400.06</v>
      </c>
      <c r="H628" s="104">
        <f>SUM(G468)</f>
        <v>70400.06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38176.299999999996</v>
      </c>
      <c r="H629" s="104">
        <f>SUM(H468)</f>
        <v>38176.299999999996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2018970.1500000001</v>
      </c>
      <c r="H630" s="104">
        <f>SUM(I468)</f>
        <v>2018970.1500000001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3410832.21</v>
      </c>
      <c r="H632" s="104">
        <f>SUM(F472)</f>
        <v>3410832.21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38176.300000000003</v>
      </c>
      <c r="H633" s="104">
        <f>SUM(H472)</f>
        <v>38176.300000000003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5551.0700000000006</v>
      </c>
      <c r="H634" s="104">
        <f>I369</f>
        <v>5551.0700000000006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70400.06</v>
      </c>
      <c r="H635" s="104">
        <f>SUM(G472)</f>
        <v>70400.06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2043788.11</v>
      </c>
      <c r="H636" s="104">
        <f>SUM(I472)</f>
        <v>2043788.11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145492.81</v>
      </c>
      <c r="H647" s="104">
        <f>L208+L226+L244</f>
        <v>145492.81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67145.47</v>
      </c>
      <c r="H648" s="104">
        <f>(J257+J338)-(J255+J336)</f>
        <v>67145.47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112498.99</v>
      </c>
      <c r="H649" s="104">
        <f>H598</f>
        <v>112498.98999999999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32993.82</v>
      </c>
      <c r="H651" s="104">
        <f>J598</f>
        <v>32993.82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12998.77</v>
      </c>
      <c r="H652" s="104">
        <f>K263+K345</f>
        <v>12998.77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1830879.46</v>
      </c>
      <c r="G660" s="19">
        <f>(L229+L309+L359)</f>
        <v>0</v>
      </c>
      <c r="H660" s="19">
        <f>(L247+L328+L360)</f>
        <v>1193097.77</v>
      </c>
      <c r="I660" s="19">
        <f>SUM(F660:H660)</f>
        <v>3023977.23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27100.86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27100.86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112498.99</v>
      </c>
      <c r="G662" s="19">
        <f>(L226+L306)-(J226+J306)</f>
        <v>0</v>
      </c>
      <c r="H662" s="19">
        <f>(L244+L325)-(J244+J325)</f>
        <v>32993.82</v>
      </c>
      <c r="I662" s="19">
        <f>SUM(F662:H662)</f>
        <v>145492.81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184419.69</v>
      </c>
      <c r="G663" s="199">
        <f>SUM(G575:G587)+SUM(I602:I604)+L612</f>
        <v>0</v>
      </c>
      <c r="H663" s="199">
        <f>SUM(H575:H587)+SUM(J602:J604)+L613</f>
        <v>1160103.95</v>
      </c>
      <c r="I663" s="19">
        <f>SUM(F663:H663)</f>
        <v>1344523.64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1506859.92</v>
      </c>
      <c r="G664" s="19">
        <f>G660-SUM(G661:G663)</f>
        <v>0</v>
      </c>
      <c r="H664" s="19">
        <f>H660-SUM(H661:H663)</f>
        <v>0</v>
      </c>
      <c r="I664" s="19">
        <f>I660-SUM(I661:I663)</f>
        <v>1506859.9200000002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107.03</v>
      </c>
      <c r="G665" s="248"/>
      <c r="H665" s="248"/>
      <c r="I665" s="19">
        <f>SUM(F665:H665)</f>
        <v>107.03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14078.86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14078.86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14078.86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14078.86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7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Unity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352101.89999999997</v>
      </c>
      <c r="C9" s="229">
        <f>'DOE25'!G197+'DOE25'!G215+'DOE25'!G233+'DOE25'!G276+'DOE25'!G295+'DOE25'!G314</f>
        <v>239017.43</v>
      </c>
    </row>
    <row r="10" spans="1:3" x14ac:dyDescent="0.2">
      <c r="A10" t="s">
        <v>779</v>
      </c>
      <c r="B10" s="240">
        <v>352101.9</v>
      </c>
      <c r="C10" s="240">
        <v>239017.43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352101.9</v>
      </c>
      <c r="C13" s="231">
        <f>SUM(C10:C12)</f>
        <v>239017.43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104365.5</v>
      </c>
      <c r="C18" s="229">
        <f>'DOE25'!G198+'DOE25'!G216+'DOE25'!G234+'DOE25'!G277+'DOE25'!G296+'DOE25'!G315</f>
        <v>51950.28</v>
      </c>
    </row>
    <row r="19" spans="1:3" x14ac:dyDescent="0.2">
      <c r="A19" t="s">
        <v>779</v>
      </c>
      <c r="B19" s="240">
        <v>39747</v>
      </c>
      <c r="C19" s="240">
        <v>24941.11</v>
      </c>
    </row>
    <row r="20" spans="1:3" x14ac:dyDescent="0.2">
      <c r="A20" t="s">
        <v>780</v>
      </c>
      <c r="B20" s="240">
        <v>64618.5</v>
      </c>
      <c r="C20" s="240">
        <v>27009.17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104365.5</v>
      </c>
      <c r="C22" s="231">
        <f>SUM(C19:C21)</f>
        <v>51950.28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2825</v>
      </c>
      <c r="C36" s="235">
        <f>'DOE25'!G200+'DOE25'!G218+'DOE25'!G236+'DOE25'!G279+'DOE25'!G298+'DOE25'!G317</f>
        <v>279.45999999999998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2825</v>
      </c>
      <c r="C39" s="240">
        <v>279.45999999999998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2825</v>
      </c>
      <c r="C40" s="231">
        <f>SUM(C37:C39)</f>
        <v>279.45999999999998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Unity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2164139.86</v>
      </c>
      <c r="D5" s="20">
        <f>SUM('DOE25'!L197:L200)+SUM('DOE25'!L215:L218)+SUM('DOE25'!L233:L236)-F5-G5</f>
        <v>2100751.06</v>
      </c>
      <c r="E5" s="243"/>
      <c r="F5" s="255">
        <f>SUM('DOE25'!J197:J200)+SUM('DOE25'!J215:J218)+SUM('DOE25'!J233:J236)</f>
        <v>63388.800000000003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17578.669999999998</v>
      </c>
      <c r="D6" s="20">
        <f>'DOE25'!L202+'DOE25'!L220+'DOE25'!L238-F6-G6</f>
        <v>17578.669999999998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62349.170000000006</v>
      </c>
      <c r="D7" s="20">
        <f>'DOE25'!L203+'DOE25'!L221+'DOE25'!L239-F7-G7</f>
        <v>62059.170000000006</v>
      </c>
      <c r="E7" s="243"/>
      <c r="F7" s="255">
        <f>'DOE25'!J203+'DOE25'!J221+'DOE25'!J239</f>
        <v>290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118085.2</v>
      </c>
      <c r="D8" s="243"/>
      <c r="E8" s="20">
        <f>'DOE25'!L204+'DOE25'!L222+'DOE25'!L240-F8-G8-D9-D11</f>
        <v>117164.61</v>
      </c>
      <c r="F8" s="255">
        <f>'DOE25'!J204+'DOE25'!J222+'DOE25'!J240</f>
        <v>0</v>
      </c>
      <c r="G8" s="53">
        <f>'DOE25'!K204+'DOE25'!K222+'DOE25'!K240</f>
        <v>920.59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60856.450000000012</v>
      </c>
      <c r="D9" s="244">
        <f>207628.45-146772</f>
        <v>60856.450000000012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7144.5</v>
      </c>
      <c r="D10" s="243"/>
      <c r="E10" s="244">
        <v>7144.5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28686.799999999999</v>
      </c>
      <c r="D11" s="244">
        <v>28686.799999999999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153856.89000000001</v>
      </c>
      <c r="D12" s="20">
        <f>'DOE25'!L205+'DOE25'!L223+'DOE25'!L241-F12-G12</f>
        <v>146289.15000000002</v>
      </c>
      <c r="E12" s="243"/>
      <c r="F12" s="255">
        <f>'DOE25'!J205+'DOE25'!J223+'DOE25'!J241</f>
        <v>0</v>
      </c>
      <c r="G12" s="53">
        <f>'DOE25'!K205+'DOE25'!K223+'DOE25'!K241</f>
        <v>7567.74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164355.01999999999</v>
      </c>
      <c r="D14" s="20">
        <f>'DOE25'!L207+'DOE25'!L225+'DOE25'!L243-F14-G14</f>
        <v>160888.34999999998</v>
      </c>
      <c r="E14" s="243"/>
      <c r="F14" s="255">
        <f>'DOE25'!J207+'DOE25'!J225+'DOE25'!J243</f>
        <v>3466.67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145492.81</v>
      </c>
      <c r="D15" s="20">
        <f>'DOE25'!L208+'DOE25'!L226+'DOE25'!L244-F15-G15</f>
        <v>145492.81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482432.57</v>
      </c>
      <c r="D25" s="243"/>
      <c r="E25" s="243"/>
      <c r="F25" s="258"/>
      <c r="G25" s="256"/>
      <c r="H25" s="257">
        <f>'DOE25'!L260+'DOE25'!L261+'DOE25'!L341+'DOE25'!L342</f>
        <v>482432.57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65304.63</v>
      </c>
      <c r="D29" s="20">
        <f>'DOE25'!L358+'DOE25'!L359+'DOE25'!L360-'DOE25'!I367-F29-G29</f>
        <v>65304.63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38176.300000000003</v>
      </c>
      <c r="D31" s="20">
        <f>'DOE25'!L290+'DOE25'!L309+'DOE25'!L328+'DOE25'!L333+'DOE25'!L334+'DOE25'!L335-F31-G31</f>
        <v>37194.07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982.23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2825101.1599999997</v>
      </c>
      <c r="E33" s="246">
        <f>SUM(E5:E31)</f>
        <v>124309.11</v>
      </c>
      <c r="F33" s="246">
        <f>SUM(F5:F31)</f>
        <v>67145.47</v>
      </c>
      <c r="G33" s="246">
        <f>SUM(G5:G31)</f>
        <v>9470.56</v>
      </c>
      <c r="H33" s="246">
        <f>SUM(H5:H31)</f>
        <v>482432.57</v>
      </c>
    </row>
    <row r="35" spans="2:8" ht="12" thickBot="1" x14ac:dyDescent="0.25">
      <c r="B35" s="253" t="s">
        <v>847</v>
      </c>
      <c r="D35" s="254">
        <f>E33</f>
        <v>124309.11</v>
      </c>
      <c r="E35" s="249"/>
    </row>
    <row r="36" spans="2:8" ht="12" thickTop="1" x14ac:dyDescent="0.2">
      <c r="B36" t="s">
        <v>815</v>
      </c>
      <c r="D36" s="20">
        <f>D33</f>
        <v>2825101.1599999997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6" activePane="bottomLeft" state="frozen"/>
      <selection activeCell="F46" sqref="F46"/>
      <selection pane="bottomLeft" activeCell="C162" sqref="C16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478106.6</v>
      </c>
      <c r="D8" s="95">
        <f>'DOE25'!G9</f>
        <v>0</v>
      </c>
      <c r="E8" s="95">
        <f>'DOE25'!H9</f>
        <v>0</v>
      </c>
      <c r="F8" s="95">
        <f>'DOE25'!I9</f>
        <v>53319.42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11574.97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1902.01</v>
      </c>
      <c r="E12" s="95">
        <f>'DOE25'!H13</f>
        <v>9357.24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489681.56999999995</v>
      </c>
      <c r="D18" s="41">
        <f>SUM(D8:D17)</f>
        <v>1902.01</v>
      </c>
      <c r="E18" s="41">
        <f>SUM(E8:E17)</f>
        <v>9357.24</v>
      </c>
      <c r="F18" s="41">
        <f>SUM(F8:F17)</f>
        <v>53319.42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1902.0100000000002</v>
      </c>
      <c r="E21" s="95">
        <f>'DOE25'!H22</f>
        <v>9267.31</v>
      </c>
      <c r="F21" s="95">
        <f>'DOE25'!I22</f>
        <v>405.65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77921.919999999998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15742.489999999998</v>
      </c>
      <c r="D27" s="95">
        <f>'DOE25'!G28</f>
        <v>0</v>
      </c>
      <c r="E27" s="95">
        <f>'DOE25'!H28</f>
        <v>89.93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50000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143664.41</v>
      </c>
      <c r="D31" s="41">
        <f>SUM(D21:D30)</f>
        <v>1902.0100000000002</v>
      </c>
      <c r="E31" s="41">
        <f>SUM(E21:E30)</f>
        <v>9357.24</v>
      </c>
      <c r="F31" s="41">
        <f>SUM(F21:F30)</f>
        <v>405.65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52913.77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242948.36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103068.79999999993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346017.15999999992</v>
      </c>
      <c r="D50" s="41">
        <f>SUM(D34:D49)</f>
        <v>0</v>
      </c>
      <c r="E50" s="41">
        <f>SUM(E34:E49)</f>
        <v>0</v>
      </c>
      <c r="F50" s="41">
        <f>SUM(F34:F49)</f>
        <v>52913.77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489681.56999999995</v>
      </c>
      <c r="D51" s="41">
        <f>D50+D31</f>
        <v>1902.0100000000002</v>
      </c>
      <c r="E51" s="41">
        <f>E50+E31</f>
        <v>9357.24</v>
      </c>
      <c r="F51" s="41">
        <f>F50+F31</f>
        <v>53319.42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1873805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852.79</v>
      </c>
      <c r="D59" s="95">
        <f>'DOE25'!G96</f>
        <v>0</v>
      </c>
      <c r="E59" s="95">
        <f>'DOE25'!H96</f>
        <v>0</v>
      </c>
      <c r="F59" s="95">
        <f>'DOE25'!I96</f>
        <v>271.39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27100.86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65607.16</v>
      </c>
      <c r="D61" s="95">
        <f>SUM('DOE25'!G98:G110)</f>
        <v>0</v>
      </c>
      <c r="E61" s="95">
        <f>SUM('DOE25'!H98:H110)</f>
        <v>0</v>
      </c>
      <c r="F61" s="95">
        <f>SUM('DOE25'!I98:I110)</f>
        <v>7327.48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66459.95</v>
      </c>
      <c r="D62" s="130">
        <f>SUM(D57:D61)</f>
        <v>27100.86</v>
      </c>
      <c r="E62" s="130">
        <f>SUM(E57:E61)</f>
        <v>0</v>
      </c>
      <c r="F62" s="130">
        <f>SUM(F57:F61)</f>
        <v>7598.87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1940264.95</v>
      </c>
      <c r="D63" s="22">
        <f>D56+D62</f>
        <v>27100.86</v>
      </c>
      <c r="E63" s="22">
        <f>E56+E62</f>
        <v>0</v>
      </c>
      <c r="F63" s="22">
        <f>F56+F62</f>
        <v>7598.87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867174.1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289392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1156566.1000000001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102963.97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172653.56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773.59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275617.53000000003</v>
      </c>
      <c r="D78" s="130">
        <f>SUM(D72:D77)</f>
        <v>773.59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1432183.6300000001</v>
      </c>
      <c r="D81" s="130">
        <f>SUM(D79:D80)+D78+D70</f>
        <v>773.59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53667.79</v>
      </c>
      <c r="D88" s="95">
        <f>SUM('DOE25'!G153:G161)</f>
        <v>29526.84</v>
      </c>
      <c r="E88" s="95">
        <f>SUM('DOE25'!H153:H161)</f>
        <v>38176.299999999996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53667.79</v>
      </c>
      <c r="D91" s="131">
        <f>SUM(D85:D90)</f>
        <v>29526.84</v>
      </c>
      <c r="E91" s="131">
        <f>SUM(E85:E90)</f>
        <v>38176.299999999996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2011371.28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12998.77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12998.77</v>
      </c>
      <c r="E103" s="86">
        <f>SUM(E93:E102)</f>
        <v>0</v>
      </c>
      <c r="F103" s="86">
        <f>SUM(F93:F102)</f>
        <v>2011371.28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3426116.37</v>
      </c>
      <c r="D104" s="86">
        <f>D63+D81+D91+D103</f>
        <v>70400.06</v>
      </c>
      <c r="E104" s="86">
        <f>E63+E81+E91+E103</f>
        <v>38176.299999999996</v>
      </c>
      <c r="F104" s="86">
        <f>F63+F81+F91+F103</f>
        <v>2018970.1500000001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1429449.53</v>
      </c>
      <c r="D109" s="24" t="s">
        <v>289</v>
      </c>
      <c r="E109" s="95">
        <f>('DOE25'!L276)+('DOE25'!L295)+('DOE25'!L314)</f>
        <v>22018.219999999998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729502.41999999993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5187.91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2164139.8600000003</v>
      </c>
      <c r="D115" s="86">
        <f>SUM(D109:D114)</f>
        <v>0</v>
      </c>
      <c r="E115" s="86">
        <f>SUM(E109:E114)</f>
        <v>22018.219999999998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17578.669999999998</v>
      </c>
      <c r="D118" s="24" t="s">
        <v>289</v>
      </c>
      <c r="E118" s="95">
        <f>+('DOE25'!L281)+('DOE25'!L300)+('DOE25'!L319)</f>
        <v>15175.85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62349.170000000006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207628.45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153856.89000000001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982.23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164355.01999999999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145492.81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70400.06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751261.01</v>
      </c>
      <c r="D128" s="86">
        <f>SUM(D118:D127)</f>
        <v>70400.06</v>
      </c>
      <c r="E128" s="86">
        <f>SUM(E118:E127)</f>
        <v>16158.08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2043788.11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257500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224932.57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12998.77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495431.34</v>
      </c>
      <c r="D144" s="141">
        <f>SUM(D130:D143)</f>
        <v>0</v>
      </c>
      <c r="E144" s="141">
        <f>SUM(E130:E143)</f>
        <v>0</v>
      </c>
      <c r="F144" s="141">
        <f>SUM(F130:F143)</f>
        <v>2043788.11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3410832.21</v>
      </c>
      <c r="D145" s="86">
        <f>(D115+D128+D144)</f>
        <v>70400.06</v>
      </c>
      <c r="E145" s="86">
        <f>(E115+E128+E144)</f>
        <v>38176.299999999996</v>
      </c>
      <c r="F145" s="86">
        <f>(F115+F128+F144)</f>
        <v>2043788.11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07/12</v>
      </c>
      <c r="C152" s="152" t="str">
        <f>'DOE25'!G491</f>
        <v>07/13</v>
      </c>
      <c r="D152" s="152" t="str">
        <f>'DOE25'!H491</f>
        <v>09/14</v>
      </c>
      <c r="E152" s="152" t="str">
        <f>'DOE25'!I491</f>
        <v>07/14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08/32</v>
      </c>
      <c r="C153" s="152" t="str">
        <f>'DOE25'!G492</f>
        <v>07/33</v>
      </c>
      <c r="D153" s="152" t="str">
        <f>'DOE25'!H492</f>
        <v>09/34</v>
      </c>
      <c r="E153" s="152" t="str">
        <f>'DOE25'!I492</f>
        <v>07/34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4571850</v>
      </c>
      <c r="C154" s="137">
        <f>'DOE25'!G493</f>
        <v>550000</v>
      </c>
      <c r="D154" s="137">
        <f>'DOE25'!H493</f>
        <v>738629</v>
      </c>
      <c r="E154" s="137">
        <f>'DOE25'!I493</f>
        <v>1800000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3.25</v>
      </c>
      <c r="D155" s="137">
        <f>'DOE25'!H494</f>
        <v>3.25</v>
      </c>
      <c r="E155" s="137">
        <f>'DOE25'!I494</f>
        <v>4.5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4340000</v>
      </c>
      <c r="C156" s="137">
        <f>'DOE25'!G495</f>
        <v>550000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4890000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738629</v>
      </c>
      <c r="E157" s="137">
        <f>'DOE25'!I496</f>
        <v>1800000</v>
      </c>
      <c r="F157" s="137">
        <f>'DOE25'!J496</f>
        <v>0</v>
      </c>
      <c r="G157" s="138">
        <f t="shared" ref="G157:G164" si="0">SUM(B157:F157)</f>
        <v>2538629</v>
      </c>
    </row>
    <row r="158" spans="1:9" x14ac:dyDescent="0.2">
      <c r="A158" s="22" t="s">
        <v>34</v>
      </c>
      <c r="B158" s="137">
        <f>'DOE25'!F497</f>
        <v>230000</v>
      </c>
      <c r="C158" s="137">
        <f>'DOE25'!G497</f>
        <v>27500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257500</v>
      </c>
    </row>
    <row r="159" spans="1:9" x14ac:dyDescent="0.2">
      <c r="A159" s="22" t="s">
        <v>35</v>
      </c>
      <c r="B159" s="137">
        <f>'DOE25'!F498</f>
        <v>4110000</v>
      </c>
      <c r="C159" s="137">
        <f>'DOE25'!G498</f>
        <v>522500</v>
      </c>
      <c r="D159" s="137">
        <f>'DOE25'!H498</f>
        <v>738629</v>
      </c>
      <c r="E159" s="137">
        <f>'DOE25'!I498</f>
        <v>1800000</v>
      </c>
      <c r="F159" s="137">
        <f>'DOE25'!J498</f>
        <v>0</v>
      </c>
      <c r="G159" s="138">
        <f t="shared" si="0"/>
        <v>7171129</v>
      </c>
    </row>
    <row r="160" spans="1:9" x14ac:dyDescent="0.2">
      <c r="A160" s="22" t="s">
        <v>36</v>
      </c>
      <c r="B160" s="137">
        <f>'DOE25'!F499</f>
        <v>1302703.28</v>
      </c>
      <c r="C160" s="137">
        <f>'DOE25'!G499</f>
        <v>161374.51999999999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1464077.8</v>
      </c>
    </row>
    <row r="161" spans="1:7" x14ac:dyDescent="0.2">
      <c r="A161" s="22" t="s">
        <v>37</v>
      </c>
      <c r="B161" s="137">
        <f>'DOE25'!F500</f>
        <v>5412703.2800000003</v>
      </c>
      <c r="C161" s="137">
        <f>'DOE25'!G500</f>
        <v>683874.52</v>
      </c>
      <c r="D161" s="137">
        <f>'DOE25'!H500</f>
        <v>738629</v>
      </c>
      <c r="E161" s="137">
        <f>'DOE25'!I500</f>
        <v>1800000</v>
      </c>
      <c r="F161" s="137">
        <f>'DOE25'!J500</f>
        <v>0</v>
      </c>
      <c r="G161" s="138">
        <f t="shared" si="0"/>
        <v>8635206.8000000007</v>
      </c>
    </row>
    <row r="162" spans="1:7" x14ac:dyDescent="0.2">
      <c r="A162" s="22" t="s">
        <v>38</v>
      </c>
      <c r="B162" s="137">
        <f>'DOE25'!F501</f>
        <v>230000</v>
      </c>
      <c r="C162" s="137">
        <f>'DOE25'!G501</f>
        <v>27500</v>
      </c>
      <c r="D162" s="137">
        <f>'DOE25'!H501</f>
        <v>36931.449999999997</v>
      </c>
      <c r="E162" s="137">
        <f>'DOE25'!I501</f>
        <v>95000</v>
      </c>
      <c r="F162" s="137">
        <f>'DOE25'!J501</f>
        <v>0</v>
      </c>
      <c r="G162" s="138">
        <f t="shared" si="0"/>
        <v>389431.45</v>
      </c>
    </row>
    <row r="163" spans="1:7" x14ac:dyDescent="0.2">
      <c r="A163" s="22" t="s">
        <v>39</v>
      </c>
      <c r="B163" s="137">
        <f>'DOE25'!F502</f>
        <v>139143.76</v>
      </c>
      <c r="C163" s="137">
        <f>'DOE25'!G502</f>
        <v>16530.7</v>
      </c>
      <c r="D163" s="137">
        <f>'DOE25'!H502</f>
        <v>24191.56</v>
      </c>
      <c r="E163" s="137">
        <f>'DOE25'!I502</f>
        <v>80617.5</v>
      </c>
      <c r="F163" s="137">
        <f>'DOE25'!J502</f>
        <v>0</v>
      </c>
      <c r="G163" s="138">
        <f t="shared" si="0"/>
        <v>260483.52000000002</v>
      </c>
    </row>
    <row r="164" spans="1:7" x14ac:dyDescent="0.2">
      <c r="A164" s="22" t="s">
        <v>246</v>
      </c>
      <c r="B164" s="137">
        <f>'DOE25'!F503</f>
        <v>369143.76</v>
      </c>
      <c r="C164" s="137">
        <f>'DOE25'!G503</f>
        <v>44030.7</v>
      </c>
      <c r="D164" s="137">
        <f>'DOE25'!H503</f>
        <v>61123.009999999995</v>
      </c>
      <c r="E164" s="137">
        <f>'DOE25'!I503</f>
        <v>175617.5</v>
      </c>
      <c r="F164" s="137">
        <f>'DOE25'!J503</f>
        <v>0</v>
      </c>
      <c r="G164" s="138">
        <f t="shared" si="0"/>
        <v>649914.97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Unity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14079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1451468</v>
      </c>
      <c r="D10" s="182">
        <f>ROUND((C10/$C$28)*100,1)</f>
        <v>45.1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729502</v>
      </c>
      <c r="D11" s="182">
        <f>ROUND((C11/$C$28)*100,1)</f>
        <v>22.6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5188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32755</v>
      </c>
      <c r="D15" s="182">
        <f t="shared" ref="D15:D27" si="0">ROUND((C15/$C$28)*100,1)</f>
        <v>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62349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207628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153857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982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164355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145493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224933</v>
      </c>
      <c r="D25" s="182">
        <f t="shared" si="0"/>
        <v>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43299.14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3221809.14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2043788</v>
      </c>
    </row>
    <row r="30" spans="1:4" x14ac:dyDescent="0.2">
      <c r="B30" s="187" t="s">
        <v>729</v>
      </c>
      <c r="C30" s="180">
        <f>SUM(C28:C29)</f>
        <v>5265597.1400000006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257500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1873805</v>
      </c>
      <c r="D35" s="182">
        <f t="shared" ref="D35:D40" si="1">ROUND((C35/$C$41)*100,1)</f>
        <v>53.5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74058.820000000065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1156566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276391</v>
      </c>
      <c r="D38" s="182">
        <f t="shared" si="1"/>
        <v>7.9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121371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3502191.8200000003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2011371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Unity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2015-11-12T13:05:16Z</cp:lastPrinted>
  <dcterms:created xsi:type="dcterms:W3CDTF">1997-12-04T19:04:30Z</dcterms:created>
  <dcterms:modified xsi:type="dcterms:W3CDTF">2015-11-30T14:55:10Z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