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150" windowWidth="12735" windowHeight="6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3" i="1" l="1"/>
  <c r="F472" i="1"/>
  <c r="G440" i="1"/>
  <c r="G400" i="1"/>
  <c r="H595" i="1"/>
  <c r="H234" i="1"/>
  <c r="H198" i="1"/>
  <c r="H521" i="1"/>
  <c r="F531" i="1"/>
  <c r="G521" i="1"/>
  <c r="G531" i="1"/>
  <c r="F521" i="1"/>
  <c r="C37" i="12"/>
  <c r="C11" i="12"/>
  <c r="C10" i="12"/>
  <c r="B10" i="12"/>
  <c r="C21" i="12"/>
  <c r="C19" i="12"/>
  <c r="C20" i="12"/>
  <c r="B21" i="12"/>
  <c r="B20" i="12"/>
  <c r="B19" i="12"/>
  <c r="B12" i="12"/>
  <c r="G541" i="1"/>
  <c r="H197" i="1"/>
  <c r="F197" i="1"/>
  <c r="G23" i="1"/>
  <c r="F13" i="1"/>
  <c r="G611" i="1"/>
  <c r="J604" i="1"/>
  <c r="H604" i="1"/>
  <c r="J592" i="1"/>
  <c r="J591" i="1"/>
  <c r="G468" i="1"/>
  <c r="F440" i="1"/>
  <c r="H426" i="1"/>
  <c r="H415" i="1"/>
  <c r="G459" i="1"/>
  <c r="F459" i="1"/>
  <c r="H358" i="1"/>
  <c r="F276" i="1"/>
  <c r="G276" i="1"/>
  <c r="I276" i="1"/>
  <c r="H282" i="1"/>
  <c r="G282" i="1"/>
  <c r="F282" i="1"/>
  <c r="G208" i="1"/>
  <c r="G207" i="1"/>
  <c r="G205" i="1"/>
  <c r="G203" i="1"/>
  <c r="G204" i="1"/>
  <c r="G202" i="1"/>
  <c r="G200" i="1"/>
  <c r="G198" i="1"/>
  <c r="G197" i="1"/>
  <c r="H155" i="1"/>
  <c r="H154" i="1"/>
  <c r="F24" i="1"/>
  <c r="F9" i="1"/>
  <c r="C45" i="2"/>
  <c r="C37" i="10"/>
  <c r="F40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E8" i="13"/>
  <c r="C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7" i="10"/>
  <c r="L227" i="1"/>
  <c r="L245" i="1"/>
  <c r="F5" i="13"/>
  <c r="G5" i="13"/>
  <c r="L197" i="1"/>
  <c r="L198" i="1"/>
  <c r="L199" i="1"/>
  <c r="L200" i="1"/>
  <c r="C112" i="2"/>
  <c r="L215" i="1"/>
  <c r="L216" i="1"/>
  <c r="L217" i="1"/>
  <c r="L218" i="1"/>
  <c r="L233" i="1"/>
  <c r="L234" i="1"/>
  <c r="L247" i="1"/>
  <c r="L235" i="1"/>
  <c r="L236" i="1"/>
  <c r="F6" i="13"/>
  <c r="G6" i="13"/>
  <c r="L202" i="1"/>
  <c r="L220" i="1"/>
  <c r="L238" i="1"/>
  <c r="F7" i="13"/>
  <c r="G7" i="13"/>
  <c r="L203" i="1"/>
  <c r="C119" i="2"/>
  <c r="L221" i="1"/>
  <c r="L239" i="1"/>
  <c r="F12" i="13"/>
  <c r="G12" i="13"/>
  <c r="L205" i="1"/>
  <c r="L223" i="1"/>
  <c r="L241" i="1"/>
  <c r="F14" i="13"/>
  <c r="G14" i="13"/>
  <c r="L207" i="1"/>
  <c r="C20" i="10"/>
  <c r="L225" i="1"/>
  <c r="L243" i="1"/>
  <c r="F15" i="13"/>
  <c r="G15" i="13"/>
  <c r="L208" i="1"/>
  <c r="C21" i="10"/>
  <c r="L226" i="1"/>
  <c r="L244" i="1"/>
  <c r="F17" i="13"/>
  <c r="G17" i="13"/>
  <c r="D17" i="13"/>
  <c r="C17" i="13"/>
  <c r="L251" i="1"/>
  <c r="F18" i="13"/>
  <c r="G18" i="13"/>
  <c r="L252" i="1"/>
  <c r="F19" i="13"/>
  <c r="G19" i="13"/>
  <c r="L253" i="1"/>
  <c r="F29" i="13"/>
  <c r="G29" i="13"/>
  <c r="L358" i="1"/>
  <c r="G661" i="1"/>
  <c r="L359" i="1"/>
  <c r="L360" i="1"/>
  <c r="I367" i="1"/>
  <c r="J290" i="1"/>
  <c r="J309" i="1"/>
  <c r="J328" i="1"/>
  <c r="K290" i="1"/>
  <c r="K309" i="1"/>
  <c r="K328" i="1"/>
  <c r="L276" i="1"/>
  <c r="E109" i="2"/>
  <c r="L277" i="1"/>
  <c r="L278" i="1"/>
  <c r="L279" i="1"/>
  <c r="E112" i="2"/>
  <c r="L281" i="1"/>
  <c r="E118" i="2"/>
  <c r="L282" i="1"/>
  <c r="E119" i="2"/>
  <c r="L283" i="1"/>
  <c r="L284" i="1"/>
  <c r="L285" i="1"/>
  <c r="C19" i="10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2" i="2"/>
  <c r="G61" i="2"/>
  <c r="F2" i="11"/>
  <c r="L613" i="1"/>
  <c r="H663" i="1"/>
  <c r="L612" i="1"/>
  <c r="G663" i="1"/>
  <c r="L611" i="1"/>
  <c r="F663" i="1"/>
  <c r="C40" i="10"/>
  <c r="F60" i="1"/>
  <c r="F112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/>
  <c r="G147" i="1"/>
  <c r="G162" i="1"/>
  <c r="H147" i="1"/>
  <c r="H162" i="1"/>
  <c r="H169" i="1"/>
  <c r="I147" i="1"/>
  <c r="I162" i="1"/>
  <c r="C11" i="10"/>
  <c r="C12" i="10"/>
  <c r="C18" i="10"/>
  <c r="L250" i="1"/>
  <c r="L332" i="1"/>
  <c r="L254" i="1"/>
  <c r="C25" i="10"/>
  <c r="L268" i="1"/>
  <c r="L269" i="1"/>
  <c r="L349" i="1"/>
  <c r="L350" i="1"/>
  <c r="I665" i="1"/>
  <c r="I667" i="1" s="1"/>
  <c r="I670" i="1"/>
  <c r="L229" i="1"/>
  <c r="F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K551" i="1"/>
  <c r="L526" i="1"/>
  <c r="G549" i="1"/>
  <c r="G552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L542" i="1"/>
  <c r="J550" i="1"/>
  <c r="L543" i="1"/>
  <c r="J551" i="1"/>
  <c r="E132" i="2"/>
  <c r="E131" i="2"/>
  <c r="K270" i="1"/>
  <c r="L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F18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D56" i="2"/>
  <c r="E56" i="2"/>
  <c r="F56" i="2"/>
  <c r="C57" i="2"/>
  <c r="E57" i="2"/>
  <c r="E62" i="2"/>
  <c r="E63" i="2"/>
  <c r="C58" i="2"/>
  <c r="E58" i="2"/>
  <c r="C59" i="2"/>
  <c r="D59" i="2"/>
  <c r="D62" i="2"/>
  <c r="D63" i="2"/>
  <c r="E59" i="2"/>
  <c r="F59" i="2"/>
  <c r="D60" i="2"/>
  <c r="C61" i="2"/>
  <c r="D61" i="2"/>
  <c r="E61" i="2"/>
  <c r="F61" i="2"/>
  <c r="C66" i="2"/>
  <c r="C70" i="2"/>
  <c r="C67" i="2"/>
  <c r="C69" i="2"/>
  <c r="D69" i="2"/>
  <c r="D70" i="2"/>
  <c r="E69" i="2"/>
  <c r="E70" i="2"/>
  <c r="F69" i="2"/>
  <c r="F70" i="2"/>
  <c r="G69" i="2"/>
  <c r="G70" i="2"/>
  <c r="C72" i="2"/>
  <c r="F72" i="2"/>
  <c r="F78" i="2"/>
  <c r="F81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3" i="2"/>
  <c r="E113" i="2"/>
  <c r="C114" i="2"/>
  <c r="E114" i="2"/>
  <c r="D115" i="2"/>
  <c r="F115" i="2"/>
  <c r="G115" i="2"/>
  <c r="C120" i="2"/>
  <c r="E120" i="2"/>
  <c r="C121" i="2"/>
  <c r="E121" i="2"/>
  <c r="C122" i="2"/>
  <c r="E123" i="2"/>
  <c r="E124" i="2"/>
  <c r="E125" i="2"/>
  <c r="D127" i="2"/>
  <c r="D128" i="2"/>
  <c r="F128" i="2"/>
  <c r="G128" i="2"/>
  <c r="C130" i="2"/>
  <c r="E130" i="2"/>
  <c r="F130" i="2"/>
  <c r="F144" i="2" s="1"/>
  <c r="F145" i="2" s="1"/>
  <c r="D134" i="2"/>
  <c r="D144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I19" i="1"/>
  <c r="F32" i="1"/>
  <c r="G32" i="1"/>
  <c r="H32" i="1"/>
  <c r="I32" i="1"/>
  <c r="H51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G257" i="1"/>
  <c r="G271" i="1"/>
  <c r="H211" i="1"/>
  <c r="I211" i="1"/>
  <c r="I257" i="1"/>
  <c r="I271" i="1"/>
  <c r="J211" i="1"/>
  <c r="J257" i="1"/>
  <c r="J27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/>
  <c r="F352" i="1"/>
  <c r="G290" i="1"/>
  <c r="G338" i="1"/>
  <c r="G352" i="1"/>
  <c r="H290" i="1"/>
  <c r="H338" i="1"/>
  <c r="H352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F408" i="1"/>
  <c r="H643" i="1"/>
  <c r="J643" i="1"/>
  <c r="G401" i="1"/>
  <c r="G408" i="1"/>
  <c r="H645" i="1"/>
  <c r="G645" i="1"/>
  <c r="J645" i="1"/>
  <c r="H401" i="1"/>
  <c r="I401" i="1"/>
  <c r="F407" i="1"/>
  <c r="G407" i="1"/>
  <c r="H407" i="1"/>
  <c r="I407" i="1"/>
  <c r="L413" i="1"/>
  <c r="L414" i="1"/>
  <c r="L415" i="1"/>
  <c r="L419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/>
  <c r="H446" i="1"/>
  <c r="F452" i="1"/>
  <c r="G452" i="1"/>
  <c r="H452" i="1"/>
  <c r="I452" i="1"/>
  <c r="F460" i="1"/>
  <c r="F461" i="1"/>
  <c r="H639" i="1"/>
  <c r="G460" i="1"/>
  <c r="G461" i="1"/>
  <c r="H640" i="1"/>
  <c r="H460" i="1"/>
  <c r="H461" i="1"/>
  <c r="F470" i="1"/>
  <c r="G470" i="1"/>
  <c r="H470" i="1"/>
  <c r="I470" i="1"/>
  <c r="I476" i="1"/>
  <c r="H625" i="1"/>
  <c r="J625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I545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3" i="1"/>
  <c r="K594" i="1"/>
  <c r="K595" i="1"/>
  <c r="K596" i="1"/>
  <c r="K597" i="1"/>
  <c r="I598" i="1"/>
  <c r="H650" i="1"/>
  <c r="J598" i="1"/>
  <c r="H651" i="1"/>
  <c r="K602" i="1"/>
  <c r="K603" i="1"/>
  <c r="K604" i="1"/>
  <c r="K605" i="1"/>
  <c r="G648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1" i="1"/>
  <c r="H641" i="1"/>
  <c r="G643" i="1"/>
  <c r="G644" i="1"/>
  <c r="G650" i="1"/>
  <c r="G651" i="1"/>
  <c r="G652" i="1"/>
  <c r="H652" i="1"/>
  <c r="G653" i="1"/>
  <c r="H653" i="1"/>
  <c r="G654" i="1"/>
  <c r="H654" i="1"/>
  <c r="H655" i="1"/>
  <c r="J655" i="1"/>
  <c r="F192" i="1"/>
  <c r="L256" i="1"/>
  <c r="K257" i="1"/>
  <c r="G164" i="2"/>
  <c r="C26" i="10"/>
  <c r="L328" i="1"/>
  <c r="L351" i="1"/>
  <c r="A31" i="12"/>
  <c r="A40" i="12"/>
  <c r="D18" i="13"/>
  <c r="C18" i="13"/>
  <c r="C78" i="2"/>
  <c r="G156" i="2"/>
  <c r="D19" i="13"/>
  <c r="C19" i="13"/>
  <c r="E13" i="13"/>
  <c r="C13" i="13"/>
  <c r="E78" i="2"/>
  <c r="H112" i="1"/>
  <c r="J641" i="1"/>
  <c r="J571" i="1"/>
  <c r="K571" i="1"/>
  <c r="L433" i="1"/>
  <c r="I169" i="1"/>
  <c r="G476" i="1"/>
  <c r="H623" i="1"/>
  <c r="J140" i="1"/>
  <c r="F571" i="1"/>
  <c r="I552" i="1"/>
  <c r="K550" i="1"/>
  <c r="G22" i="2"/>
  <c r="K545" i="1"/>
  <c r="H552" i="1"/>
  <c r="C29" i="10"/>
  <c r="H140" i="1"/>
  <c r="F22" i="13"/>
  <c r="C22" i="13"/>
  <c r="H25" i="13"/>
  <c r="C25" i="13"/>
  <c r="J651" i="1"/>
  <c r="H571" i="1"/>
  <c r="L560" i="1"/>
  <c r="G192" i="1"/>
  <c r="H192" i="1"/>
  <c r="L309" i="1"/>
  <c r="L570" i="1"/>
  <c r="I571" i="1"/>
  <c r="J636" i="1"/>
  <c r="G36" i="2"/>
  <c r="L565" i="1"/>
  <c r="H545" i="1"/>
  <c r="H33" i="13"/>
  <c r="E81" i="2"/>
  <c r="J545" i="1"/>
  <c r="D91" i="2"/>
  <c r="A13" i="12"/>
  <c r="C91" i="2"/>
  <c r="D81" i="2"/>
  <c r="D12" i="13"/>
  <c r="C12" i="13"/>
  <c r="G545" i="1"/>
  <c r="L529" i="1"/>
  <c r="J549" i="1"/>
  <c r="J552" i="1"/>
  <c r="H592" i="1"/>
  <c r="F257" i="1"/>
  <c r="F271" i="1"/>
  <c r="C109" i="2"/>
  <c r="H660" i="1"/>
  <c r="H664" i="1"/>
  <c r="H667" i="1"/>
  <c r="H257" i="1"/>
  <c r="H271" i="1"/>
  <c r="C110" i="2"/>
  <c r="L544" i="1"/>
  <c r="L524" i="1"/>
  <c r="F552" i="1"/>
  <c r="I460" i="1"/>
  <c r="I461" i="1"/>
  <c r="H642" i="1"/>
  <c r="I446" i="1"/>
  <c r="G642" i="1"/>
  <c r="J476" i="1"/>
  <c r="H626" i="1"/>
  <c r="H476" i="1"/>
  <c r="H624" i="1"/>
  <c r="J624" i="1"/>
  <c r="J640" i="1"/>
  <c r="J639" i="1"/>
  <c r="L393" i="1"/>
  <c r="C138" i="2"/>
  <c r="I408" i="1"/>
  <c r="J634" i="1"/>
  <c r="L362" i="1"/>
  <c r="G635" i="1"/>
  <c r="J635" i="1"/>
  <c r="D29" i="13"/>
  <c r="C29" i="13"/>
  <c r="G618" i="1"/>
  <c r="D18" i="2"/>
  <c r="K271" i="1"/>
  <c r="E31" i="2"/>
  <c r="F476" i="1"/>
  <c r="H622" i="1"/>
  <c r="H52" i="1"/>
  <c r="H619" i="1"/>
  <c r="J619" i="1"/>
  <c r="G617" i="1"/>
  <c r="F50" i="1"/>
  <c r="D31" i="2"/>
  <c r="L401" i="1"/>
  <c r="C139" i="2"/>
  <c r="H408" i="1"/>
  <c r="H644" i="1"/>
  <c r="J644" i="1"/>
  <c r="D145" i="2"/>
  <c r="I661" i="1"/>
  <c r="E122" i="2"/>
  <c r="E128" i="2"/>
  <c r="K338" i="1"/>
  <c r="K352" i="1"/>
  <c r="E16" i="13"/>
  <c r="C16" i="13"/>
  <c r="C125" i="2"/>
  <c r="D7" i="13"/>
  <c r="C7" i="13"/>
  <c r="D5" i="13"/>
  <c r="C5" i="13"/>
  <c r="C16" i="10"/>
  <c r="C15" i="10"/>
  <c r="L290" i="1"/>
  <c r="L338" i="1"/>
  <c r="L352" i="1"/>
  <c r="G633" i="1"/>
  <c r="J633" i="1"/>
  <c r="E115" i="2"/>
  <c r="C13" i="10"/>
  <c r="C10" i="10"/>
  <c r="D15" i="13"/>
  <c r="C15" i="13"/>
  <c r="H647" i="1"/>
  <c r="D14" i="13"/>
  <c r="C14" i="13"/>
  <c r="G649" i="1"/>
  <c r="C124" i="2"/>
  <c r="F662" i="1"/>
  <c r="I662" i="1"/>
  <c r="C123" i="2"/>
  <c r="C118" i="2"/>
  <c r="L211" i="1"/>
  <c r="D6" i="13"/>
  <c r="C6" i="13"/>
  <c r="C81" i="2"/>
  <c r="C62" i="2"/>
  <c r="C35" i="10"/>
  <c r="C36" i="10"/>
  <c r="C56" i="2"/>
  <c r="C18" i="2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F104" i="2"/>
  <c r="E50" i="2"/>
  <c r="F31" i="2"/>
  <c r="C31" i="2"/>
  <c r="E18" i="2"/>
  <c r="E144" i="2"/>
  <c r="F50" i="2"/>
  <c r="F51" i="2"/>
  <c r="C24" i="10"/>
  <c r="G660" i="1"/>
  <c r="G664" i="1"/>
  <c r="G672" i="1"/>
  <c r="C5" i="10"/>
  <c r="G31" i="13"/>
  <c r="G33" i="13"/>
  <c r="I338" i="1"/>
  <c r="I352" i="1"/>
  <c r="J650" i="1"/>
  <c r="L407" i="1"/>
  <c r="C140" i="2"/>
  <c r="L571" i="1"/>
  <c r="I192" i="1"/>
  <c r="E91" i="2"/>
  <c r="E104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J193" i="1"/>
  <c r="G646" i="1"/>
  <c r="H193" i="1"/>
  <c r="G629" i="1"/>
  <c r="J629" i="1"/>
  <c r="G169" i="1"/>
  <c r="C39" i="10"/>
  <c r="G140" i="1"/>
  <c r="F140" i="1"/>
  <c r="F193" i="1"/>
  <c r="G627" i="1"/>
  <c r="J627" i="1"/>
  <c r="G63" i="2"/>
  <c r="G42" i="2"/>
  <c r="J51" i="1"/>
  <c r="G16" i="2"/>
  <c r="G18" i="2"/>
  <c r="J19" i="1"/>
  <c r="G621" i="1"/>
  <c r="F33" i="13"/>
  <c r="F545" i="1"/>
  <c r="H434" i="1"/>
  <c r="J620" i="1"/>
  <c r="D103" i="2"/>
  <c r="I140" i="1"/>
  <c r="I193" i="1"/>
  <c r="G630" i="1"/>
  <c r="J630" i="1"/>
  <c r="A22" i="12"/>
  <c r="G50" i="2"/>
  <c r="H648" i="1"/>
  <c r="J648" i="1"/>
  <c r="J652" i="1"/>
  <c r="G571" i="1"/>
  <c r="I434" i="1"/>
  <c r="G434" i="1"/>
  <c r="I663" i="1"/>
  <c r="C27" i="10"/>
  <c r="D104" i="2"/>
  <c r="G51" i="2"/>
  <c r="E51" i="2"/>
  <c r="C63" i="2"/>
  <c r="L545" i="1"/>
  <c r="H591" i="1"/>
  <c r="K592" i="1"/>
  <c r="K549" i="1"/>
  <c r="K552" i="1"/>
  <c r="C115" i="2"/>
  <c r="J642" i="1"/>
  <c r="G104" i="2"/>
  <c r="G51" i="1"/>
  <c r="D39" i="2"/>
  <c r="D50" i="2"/>
  <c r="D51" i="2"/>
  <c r="F51" i="1"/>
  <c r="C49" i="2"/>
  <c r="C50" i="2"/>
  <c r="C51" i="2"/>
  <c r="C141" i="2"/>
  <c r="C144" i="2"/>
  <c r="L408" i="1"/>
  <c r="G637" i="1"/>
  <c r="J637" i="1"/>
  <c r="H672" i="1"/>
  <c r="C6" i="10"/>
  <c r="E33" i="13"/>
  <c r="D35" i="13"/>
  <c r="E145" i="2"/>
  <c r="D31" i="13"/>
  <c r="C31" i="13"/>
  <c r="C28" i="10"/>
  <c r="D19" i="10"/>
  <c r="F660" i="1"/>
  <c r="F664" i="1"/>
  <c r="F667" i="1"/>
  <c r="C104" i="2"/>
  <c r="C128" i="2"/>
  <c r="L257" i="1"/>
  <c r="L271" i="1"/>
  <c r="G632" i="1"/>
  <c r="J632" i="1"/>
  <c r="G667" i="1"/>
  <c r="G631" i="1"/>
  <c r="J631" i="1"/>
  <c r="G193" i="1"/>
  <c r="G628" i="1"/>
  <c r="J628" i="1"/>
  <c r="G626" i="1"/>
  <c r="J626" i="1"/>
  <c r="J52" i="1"/>
  <c r="H621" i="1"/>
  <c r="J621" i="1"/>
  <c r="C38" i="10"/>
  <c r="H598" i="1"/>
  <c r="H649" i="1"/>
  <c r="J649" i="1"/>
  <c r="K591" i="1"/>
  <c r="K598" i="1"/>
  <c r="G647" i="1"/>
  <c r="J647" i="1"/>
  <c r="I660" i="1"/>
  <c r="I664" i="1"/>
  <c r="G623" i="1"/>
  <c r="J623" i="1"/>
  <c r="G52" i="1"/>
  <c r="H618" i="1"/>
  <c r="J618" i="1"/>
  <c r="G622" i="1"/>
  <c r="J622" i="1"/>
  <c r="F52" i="1"/>
  <c r="H617" i="1"/>
  <c r="J617" i="1"/>
  <c r="C145" i="2"/>
  <c r="H646" i="1"/>
  <c r="J646" i="1"/>
  <c r="F672" i="1"/>
  <c r="C4" i="10" s="1"/>
  <c r="D33" i="13"/>
  <c r="D36" i="13"/>
  <c r="D23" i="10"/>
  <c r="D10" i="10"/>
  <c r="D17" i="10"/>
  <c r="D13" i="10"/>
  <c r="C30" i="10"/>
  <c r="D18" i="10"/>
  <c r="D12" i="10"/>
  <c r="D11" i="10"/>
  <c r="D16" i="10"/>
  <c r="D22" i="10"/>
  <c r="D27" i="10"/>
  <c r="D26" i="10"/>
  <c r="D21" i="10"/>
  <c r="D24" i="10"/>
  <c r="D20" i="10"/>
  <c r="D15" i="10"/>
  <c r="D25" i="10"/>
  <c r="C41" i="10"/>
  <c r="D38" i="10"/>
  <c r="H656" i="1"/>
  <c r="D28" i="10"/>
  <c r="D37" i="10"/>
  <c r="D36" i="10"/>
  <c r="D35" i="10"/>
  <c r="D40" i="10"/>
  <c r="D39" i="10"/>
  <c r="D41" i="10"/>
  <c r="I672" i="1" l="1"/>
  <c r="C7" i="10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<sst xmlns="http://schemas.openxmlformats.org/spreadsheetml/2006/main" count="3956" uniqueCount="914">
  <si>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</si>
  <si>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</si>
  <si>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</si>
  <si>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</si>
  <si>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</si>
  <si>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</si>
  <si>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</si>
  <si>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</si>
  <si>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</si>
  <si>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</si>
  <si>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</si>
  <si>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</si>
  <si>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</si>
  <si>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</si>
  <si>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</si>
  <si>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</si>
  <si>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</si>
  <si>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</si>
  <si>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</si>
  <si>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</si>
  <si>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</si>
  <si>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</si>
  <si>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</si>
  <si>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</si>
  <si>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</si>
  <si>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</si>
  <si>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</si>
  <si>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</si>
  <si>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</si>
  <si>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</si>
  <si>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</si>
  <si>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</si>
  <si>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</si>
  <si>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</si>
  <si>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</si>
  <si>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</si>
  <si>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</si>
  <si>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</si>
  <si>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</si>
  <si>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</si>
  <si>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</si>
  <si>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</si>
  <si>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</si>
  <si>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</si>
  <si>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</si>
  <si>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</si>
  <si>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</si>
  <si>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</si>
  <si>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</si>
  <si>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</si>
  <si>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</si>
  <si>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</si>
  <si>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</si>
  <si>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</si>
  <si>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</si>
  <si>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</si>
  <si>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</si>
  <si>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</si>
  <si>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</si>
  <si>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</si>
  <si>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</si>
  <si>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</si>
  <si>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</si>
  <si>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</si>
  <si>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</si>
  <si>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</si>
  <si>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</si>
  <si>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</si>
  <si>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</si>
  <si>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</si>
  <si>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</si>
  <si>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</si>
  <si>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</si>
  <si>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</si>
  <si>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</si>
  <si>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</si>
  <si>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</si>
  <si>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</si>
  <si>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</si>
  <si>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</si>
  <si>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</si>
  <si>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</si>
  <si>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</si>
  <si>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</si>
  <si>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</si>
  <si>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</si>
  <si>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</si>
  <si>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</si>
  <si>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</si>
  <si>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</si>
  <si>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</si>
  <si>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</si>
  <si>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</si>
  <si>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</si>
  <si>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</si>
  <si>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</si>
  <si>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</si>
  <si>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</si>
  <si>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</si>
  <si>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</si>
  <si>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</si>
  <si>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</si>
  <si>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</si>
  <si>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</si>
  <si>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</si>
  <si>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</si>
  <si>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</si>
  <si>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</si>
  <si>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</si>
  <si>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</si>
  <si>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</si>
  <si>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</si>
  <si>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</si>
  <si>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</si>
  <si>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</si>
  <si>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</si>
  <si>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</si>
  <si>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</si>
  <si>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</si>
  <si>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</si>
  <si>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</si>
  <si>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</si>
  <si>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</si>
  <si>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</si>
  <si>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</si>
  <si>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</si>
  <si>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</si>
  <si>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</si>
  <si>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</si>
  <si>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</si>
  <si>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</si>
  <si>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</si>
  <si>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</si>
  <si>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</si>
  <si>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</si>
  <si>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</si>
  <si>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</si>
  <si>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</si>
  <si>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</si>
  <si>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</si>
  <si>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</si>
  <si>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</si>
  <si>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</si>
  <si>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</si>
  <si>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</si>
  <si>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</si>
  <si>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</si>
  <si>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</si>
  <si>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</si>
  <si>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</si>
  <si>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</si>
  <si>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</si>
  <si>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</si>
  <si>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</si>
  <si>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</si>
  <si>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</si>
  <si>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</si>
  <si>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</si>
  <si>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</si>
  <si>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</si>
  <si>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</si>
  <si>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</si>
  <si>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</si>
  <si>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</si>
  <si>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</si>
  <si>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</si>
  <si>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</si>
  <si>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</si>
  <si>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</si>
  <si>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</si>
  <si>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</si>
  <si>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</si>
  <si>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</si>
  <si>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</si>
  <si>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</si>
  <si>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</si>
  <si>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</si>
  <si>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</si>
  <si>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</si>
  <si>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</si>
  <si>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</si>
  <si>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</si>
  <si>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</si>
  <si>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</si>
  <si>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</si>
  <si>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</si>
  <si>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</si>
  <si>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</si>
  <si>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</si>
  <si>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</si>
  <si>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</si>
  <si>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</si>
  <si>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</si>
  <si>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</si>
  <si>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</si>
  <si>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</si>
  <si>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</si>
  <si>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</si>
  <si>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</si>
  <si>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</si>
  <si>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</si>
  <si>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</si>
  <si>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</si>
  <si>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</si>
  <si>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</si>
  <si>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</si>
  <si>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</si>
  <si>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</si>
  <si>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</si>
  <si>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</si>
  <si>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</si>
  <si>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</si>
  <si>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</si>
  <si>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</si>
  <si>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</si>
  <si>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</si>
  <si>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</si>
  <si>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</si>
  <si>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</si>
  <si>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</si>
  <si>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</si>
  <si>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</si>
  <si>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</si>
  <si>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</si>
  <si>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</si>
  <si>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</si>
  <si>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</si>
  <si>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</si>
  <si>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</si>
  <si>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</si>
  <si>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</si>
  <si>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</si>
  <si>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</si>
  <si>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</si>
  <si>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</si>
  <si>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</si>
  <si>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</si>
  <si>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</si>
  <si>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</si>
  <si>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</si>
  <si>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</si>
  <si>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</si>
  <si>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</si>
  <si>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</si>
  <si>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</si>
  <si>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</si>
  <si>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</si>
  <si>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</si>
  <si>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</si>
  <si>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</si>
  <si>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</si>
  <si>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</si>
  <si>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</si>
  <si>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</si>
  <si>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</si>
  <si>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</si>
  <si>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</si>
  <si>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</si>
  <si>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</si>
  <si>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</si>
  <si>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</si>
  <si>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</si>
  <si>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</si>
  <si>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</si>
  <si>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</si>
  <si>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</si>
  <si>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</si>
  <si>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</si>
  <si>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</si>
  <si>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</si>
  <si>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</si>
  <si>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</si>
  <si>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</si>
  <si>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</si>
  <si>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</si>
  <si>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</si>
  <si>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</si>
  <si>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</si>
  <si>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</si>
  <si>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</si>
  <si>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</si>
  <si>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</si>
  <si>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</si>
  <si>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</si>
  <si>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</si>
  <si>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</si>
  <si>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</si>
  <si>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</si>
  <si>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</si>
  <si>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</si>
  <si>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</si>
  <si>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</si>
  <si>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</si>
  <si>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</si>
  <si>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</si>
  <si>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</si>
  <si>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</si>
  <si>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</si>
  <si>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</si>
  <si>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</si>
  <si>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</si>
  <si>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</si>
  <si>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</si>
  <si>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</si>
  <si>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</si>
  <si>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</si>
  <si>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</si>
  <si>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</si>
  <si>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</si>
  <si>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</si>
  <si>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</si>
  <si>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</si>
  <si>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</si>
  <si>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</si>
  <si>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</si>
  <si>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</si>
  <si>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</si>
  <si>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</si>
  <si>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</si>
  <si>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</si>
  <si>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</si>
  <si>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</si>
  <si>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</si>
  <si>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</si>
  <si>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</si>
  <si>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</si>
  <si>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</si>
  <si>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</si>
  <si>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</si>
  <si>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</si>
  <si>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</si>
  <si>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</si>
  <si>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</si>
  <si>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</si>
  <si>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</si>
  <si>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</si>
  <si>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</si>
  <si>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</si>
  <si>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</si>
  <si>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</si>
  <si>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</si>
  <si>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</si>
  <si>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</si>
  <si>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</si>
  <si>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</si>
  <si>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</si>
  <si>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</si>
  <si>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</si>
  <si>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</si>
  <si>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</si>
  <si>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</si>
  <si>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</si>
  <si>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</si>
  <si>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</si>
  <si>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</si>
  <si>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</si>
  <si>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</si>
  <si>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</si>
  <si>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</si>
  <si>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</si>
  <si>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</si>
  <si>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</si>
  <si>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</si>
  <si>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</si>
  <si>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</si>
  <si>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</si>
  <si>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</si>
  <si>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</si>
  <si>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</si>
  <si>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</si>
  <si>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</si>
  <si>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</si>
  <si>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</si>
  <si>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</si>
  <si>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</si>
  <si>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</si>
  <si>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</si>
  <si>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</si>
  <si>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</si>
  <si>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</si>
  <si>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</si>
  <si>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</si>
  <si>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</si>
  <si>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</si>
  <si>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</si>
  <si>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</si>
  <si>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</si>
  <si>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</si>
  <si>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</si>
  <si>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</si>
  <si>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</si>
  <si>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</si>
  <si>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</si>
  <si>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</si>
  <si>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</si>
  <si>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</si>
  <si>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</si>
  <si>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</si>
  <si>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</si>
  <si>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</si>
  <si>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</si>
  <si>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</si>
  <si>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</si>
  <si>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</si>
  <si>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</si>
  <si>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</si>
  <si>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</si>
  <si>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</si>
  <si>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</si>
  <si>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</si>
  <si>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</si>
  <si>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</si>
  <si>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</si>
  <si>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</si>
  <si>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</si>
  <si>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</si>
  <si>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</si>
  <si>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</si>
  <si>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</si>
  <si>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</si>
  <si>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</si>
  <si>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</si>
  <si>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</si>
  <si>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</si>
  <si>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</si>
  <si>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</si>
  <si>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</si>
  <si>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</si>
  <si>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</si>
  <si>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</si>
  <si>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</si>
  <si>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</si>
  <si>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</si>
  <si>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</si>
  <si>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</si>
  <si>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</si>
  <si>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</si>
  <si>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</si>
  <si>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</si>
  <si>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</si>
  <si>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</si>
  <si>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</si>
  <si>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</si>
  <si>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</si>
  <si>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</si>
  <si>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</si>
  <si>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</si>
  <si>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</si>
  <si>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</si>
  <si>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</si>
  <si>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</si>
  <si>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</si>
  <si>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</si>
  <si>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</si>
  <si>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</si>
  <si>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</si>
  <si>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</si>
  <si>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</si>
  <si>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</si>
  <si>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</si>
  <si>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</si>
  <si>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</si>
  <si>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</si>
  <si>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</si>
  <si>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</si>
  <si>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</si>
  <si>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</si>
  <si>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</si>
  <si>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</si>
  <si>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</si>
  <si>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</si>
  <si>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</si>
  <si>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</si>
  <si>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</si>
  <si>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</si>
  <si>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</si>
  <si>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</si>
  <si>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</si>
  <si>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</si>
  <si>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</si>
  <si>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</si>
  <si>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</si>
  <si>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</si>
  <si>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</si>
  <si>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</si>
  <si>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</si>
  <si>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</si>
  <si>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</si>
  <si>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</si>
  <si>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</si>
  <si>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</si>
  <si>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</si>
  <si>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</si>
  <si>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</si>
  <si>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</si>
  <si>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</si>
  <si>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</si>
  <si>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</si>
  <si>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</si>
  <si>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</si>
  <si>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</si>
  <si>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</si>
  <si>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</si>
  <si>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</si>
  <si>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</si>
  <si>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</si>
  <si>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</si>
  <si>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</si>
  <si>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</si>
  <si>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</si>
  <si>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</si>
  <si>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</si>
  <si>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</si>
  <si>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</si>
  <si>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</si>
  <si>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</si>
  <si>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</si>
  <si>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</si>
  <si>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</si>
  <si>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</si>
  <si>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</si>
  <si>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</si>
  <si>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</si>
  <si>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</si>
  <si>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</si>
  <si>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</si>
  <si>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</si>
  <si>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</si>
  <si>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</si>
  <si>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</si>
  <si>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</si>
  <si>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</si>
  <si>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</si>
  <si>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</si>
  <si>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</si>
  <si>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</si>
  <si>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</si>
  <si>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</si>
  <si>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</si>
  <si>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</si>
  <si>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</si>
  <si>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</si>
  <si>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</si>
  <si>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</si>
  <si>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</si>
  <si>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</si>
  <si>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</si>
  <si>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</si>
  <si>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</si>
  <si>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</si>
  <si>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</si>
  <si>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</si>
  <si>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</si>
  <si>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</si>
  <si>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</si>
  <si>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</si>
  <si>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</si>
  <si>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</si>
  <si>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</si>
  <si>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</si>
  <si>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</si>
  <si>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</si>
  <si>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</si>
  <si>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</si>
  <si>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</si>
  <si>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</si>
  <si>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</si>
  <si>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</si>
  <si>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</si>
  <si>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</si>
  <si>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</si>
  <si>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</si>
  <si>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</si>
  <si>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</si>
  <si>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</si>
  <si>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</si>
  <si>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</si>
  <si>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</si>
  <si>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</si>
  <si>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</si>
  <si>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</si>
  <si>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</si>
  <si>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</si>
  <si>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</si>
  <si>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</si>
  <si>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</si>
  <si>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</si>
  <si>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</si>
  <si>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</si>
  <si>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</si>
  <si>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</si>
  <si>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</si>
  <si>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</si>
  <si>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</si>
  <si>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</si>
  <si>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</si>
  <si>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</si>
  <si>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</si>
  <si>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</si>
  <si>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</si>
  <si>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</si>
  <si>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</si>
  <si>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</si>
  <si>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</si>
  <si>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</si>
  <si>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</si>
  <si>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</si>
  <si>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</si>
  <si>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</si>
  <si>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</si>
  <si>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</si>
  <si>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</si>
  <si>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</si>
  <si>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</si>
  <si>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</si>
  <si>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</si>
  <si>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</si>
  <si>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</si>
  <si>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</si>
  <si>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</si>
  <si>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</si>
  <si>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</si>
  <si>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</si>
  <si>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</si>
  <si>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</si>
  <si>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</si>
  <si>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</si>
  <si>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</si>
  <si>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</si>
  <si>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</si>
  <si>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</si>
  <si>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</si>
  <si>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</si>
  <si>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</si>
  <si>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</si>
  <si>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</si>
  <si>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</si>
  <si>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</si>
  <si>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</si>
  <si>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</si>
  <si>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</si>
  <si>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</si>
  <si>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</si>
  <si>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</si>
  <si>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</si>
  <si>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</si>
  <si>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</si>
  <si>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</si>
  <si>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</si>
  <si>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</si>
  <si>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</si>
  <si>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</si>
  <si>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</si>
  <si>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</si>
  <si>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</si>
  <si>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</si>
  <si>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</si>
  <si>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</si>
  <si>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</si>
  <si>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</si>
  <si>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</si>
  <si>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</si>
  <si>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</si>
  <si>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</si>
  <si>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</si>
  <si>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</si>
  <si>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</si>
  <si>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</si>
  <si>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</si>
  <si>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</si>
  <si>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</si>
  <si>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</si>
  <si>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</si>
  <si>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</si>
  <si>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</si>
  <si>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</si>
  <si>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</si>
  <si>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</si>
  <si>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</si>
  <si>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</si>
  <si>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</si>
  <si>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</si>
  <si>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</si>
  <si>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</si>
  <si>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</si>
  <si>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</si>
  <si>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</si>
  <si>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</si>
  <si>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</si>
  <si>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</si>
  <si>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</si>
  <si>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</si>
  <si>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</si>
  <si>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</si>
  <si>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</si>
  <si>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</si>
  <si>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</si>
  <si>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</si>
  <si>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</si>
  <si>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</si>
  <si>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</si>
  <si>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</si>
  <si>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</si>
  <si>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</si>
  <si>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</si>
  <si>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</si>
  <si>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</si>
  <si>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</si>
  <si>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</si>
  <si>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</si>
  <si>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</si>
  <si>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</si>
  <si>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</si>
  <si>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</si>
  <si>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</si>
  <si>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</si>
  <si>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</si>
  <si>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</si>
  <si>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</si>
  <si>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</si>
  <si>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</si>
  <si>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</si>
  <si>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</si>
  <si>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</si>
  <si>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</si>
  <si>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</si>
  <si>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</si>
  <si>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</si>
  <si>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</si>
  <si>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</si>
  <si>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</si>
  <si>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</si>
  <si>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</si>
  <si>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</si>
  <si>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</si>
  <si>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</si>
  <si>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</si>
  <si>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</si>
  <si>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</si>
  <si>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</si>
  <si>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</si>
  <si>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</si>
  <si>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</si>
  <si>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</si>
  <si>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</si>
  <si>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</si>
  <si>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</si>
  <si>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</si>
  <si>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</si>
  <si>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</si>
  <si>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</si>
  <si>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</si>
  <si>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</si>
  <si>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</si>
  <si>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</si>
  <si>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</si>
  <si>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</si>
  <si>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</si>
  <si>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</si>
  <si>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</si>
  <si>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</si>
  <si>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</si>
  <si>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</si>
  <si>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</si>
  <si>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</si>
  <si>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</si>
  <si>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</si>
  <si>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</si>
  <si>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</si>
  <si>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</si>
  <si>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</si>
  <si>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</si>
  <si>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</si>
  <si>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</si>
  <si>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</si>
  <si>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</si>
  <si>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</si>
  <si>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</si>
  <si>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</si>
  <si>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</si>
  <si>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</si>
  <si>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</si>
  <si>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</si>
  <si>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</si>
  <si>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</si>
  <si>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</si>
  <si>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</si>
  <si>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</si>
  <si>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</si>
  <si>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</si>
  <si>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</si>
  <si>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</si>
  <si>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</si>
  <si>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</si>
  <si>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</si>
  <si>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</si>
  <si>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</si>
  <si>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</si>
  <si>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</si>
  <si>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</si>
  <si>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</si>
  <si>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</si>
  <si>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</si>
  <si>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</si>
  <si>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</si>
  <si>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</si>
  <si>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</si>
  <si>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</si>
  <si>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</si>
  <si>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</si>
  <si>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</si>
  <si>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</si>
  <si>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</si>
  <si>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</si>
  <si>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</si>
  <si>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</si>
  <si>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</si>
  <si>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</si>
  <si>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</si>
  <si>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</si>
  <si>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</si>
  <si>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</si>
  <si>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</si>
  <si>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</si>
  <si>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</si>
  <si>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</si>
  <si>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</si>
  <si>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</si>
  <si>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</si>
  <si>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</si>
  <si>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</si>
  <si>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</si>
  <si>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</si>
  <si>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</si>
  <si>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</si>
  <si>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</si>
  <si>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</si>
  <si>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</si>
  <si>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</si>
  <si>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</si>
  <si>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</si>
  <si>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</si>
  <si>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</si>
  <si>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</si>
  <si>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</si>
  <si>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</si>
  <si>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</si>
  <si>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</si>
  <si>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</si>
  <si>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</si>
  <si>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</si>
  <si>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</si>
  <si>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</si>
  <si>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</si>
  <si>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</si>
  <si>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</si>
  <si>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</si>
  <si>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</si>
  <si>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</si>
  <si>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</si>
  <si>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</si>
  <si>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</si>
  <si>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</si>
  <si>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</si>
  <si>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</si>
  <si>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</si>
  <si>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</si>
  <si>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</si>
  <si>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</si>
  <si>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</si>
  <si>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</si>
  <si>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</si>
  <si>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</si>
  <si>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</si>
  <si>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</si>
  <si>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</si>
  <si>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</si>
  <si>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</si>
  <si>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</si>
  <si>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</si>
  <si>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</si>
  <si>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</si>
  <si>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</si>
  <si>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</si>
  <si>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</si>
  <si>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</si>
  <si>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</si>
  <si>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</si>
  <si>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</si>
  <si>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</si>
  <si>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</si>
  <si>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</si>
  <si>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</si>
  <si>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</si>
  <si>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</si>
  <si>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</si>
  <si>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</si>
  <si>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</si>
  <si>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</si>
  <si>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</si>
  <si>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</si>
  <si>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</si>
  <si>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</si>
  <si>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</si>
  <si>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</si>
  <si>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</si>
  <si>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</si>
  <si>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</si>
  <si>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</si>
  <si>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</si>
  <si>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</si>
  <si>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To correct audited FB</t>
  </si>
  <si>
    <t>To record prior balances and transactions</t>
  </si>
  <si>
    <t>Wakefield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</si>
</sst>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543</v>
      </c>
      <c r="C2" s="21">
        <v>543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386983.56+107.28</f>
        <v>387090.84</v>
      </c>
      <c r="G9" s="18">
        <v>616.51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335900.63000000006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862-0.35-11955.87</f>
        <v>-11094.220000000001</v>
      </c>
      <c r="G13" s="18"/>
      <c r="H13" s="18">
        <v>56482.36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75120.69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6722.83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451117.31</v>
      </c>
      <c r="G19" s="41">
        <f>SUM(G9:G18)</f>
        <v>7339.34</v>
      </c>
      <c r="H19" s="41">
        <f>SUM(H9:H18)</f>
        <v>56482.36</v>
      </c>
      <c r="I19" s="41">
        <f>SUM(I9:I18)</f>
        <v>0</v>
      </c>
      <c r="J19" s="41">
        <f>SUM(J9:J18)</f>
        <v>335900.63000000006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-27824.1</v>
      </c>
      <c r="G22" s="18"/>
      <c r="H22" s="18">
        <v>54893.69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-969.35</v>
      </c>
      <c r="G23" s="18">
        <f>1014.7-7521.24</f>
        <v>-6506.54</v>
      </c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119601.89-13.17-13.44</f>
        <v>119575.28</v>
      </c>
      <c r="G24" s="18">
        <v>13845.88</v>
      </c>
      <c r="H24" s="18">
        <v>1588.67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90781.83</v>
      </c>
      <c r="G32" s="41">
        <f>SUM(G22:G31)</f>
        <v>7339.3399999999992</v>
      </c>
      <c r="H32" s="41">
        <f>SUM(H22:H31)</f>
        <v>56482.36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335900.63000000006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F19-F32</f>
        <v>360335.48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360335.48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335900.63000000006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451117.31</v>
      </c>
      <c r="G52" s="41">
        <f>G51+G32</f>
        <v>7339.3399999999992</v>
      </c>
      <c r="H52" s="41">
        <f>H51+H32</f>
        <v>56482.36</v>
      </c>
      <c r="I52" s="41">
        <f>I51+I32</f>
        <v>0</v>
      </c>
      <c r="J52" s="41">
        <f>J51+J32</f>
        <v>335900.63000000006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5362750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5362750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7479.21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7479.21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41811.1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3797.3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3797.3</v>
      </c>
      <c r="G111" s="41">
        <f>SUM(G96:G110)</f>
        <v>41811.1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5374026.5099999998</v>
      </c>
      <c r="G112" s="41">
        <f>G60+G111</f>
        <v>41811.1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1128910.79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2143358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3272268.79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26044.89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2465.35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>
        <v>20584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26044.89</v>
      </c>
      <c r="G136" s="41">
        <f>SUM(G123:G135)</f>
        <v>23049.35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3298313.68</v>
      </c>
      <c r="G140" s="41">
        <f>G121+SUM(G136:G137)</f>
        <v>23049.35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11270.79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3440.22+3918+9462.9+146131.46</f>
        <v>162952.57999999999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2806.85+31294.22+55142.19</f>
        <v>89243.260000000009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93645.39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115092.43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115092.43</v>
      </c>
      <c r="G162" s="41">
        <f>SUM(G150:G161)</f>
        <v>93645.39</v>
      </c>
      <c r="H162" s="41">
        <f>SUM(H150:H161)</f>
        <v>263466.63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115092.43</v>
      </c>
      <c r="G169" s="41">
        <f>G147+G162+SUM(G163:G168)</f>
        <v>93645.39</v>
      </c>
      <c r="H169" s="41">
        <f>H147+H162+SUM(H163:H168)</f>
        <v>263466.63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9935.08</v>
      </c>
      <c r="H179" s="18"/>
      <c r="I179" s="18"/>
      <c r="J179" s="18">
        <v>187000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9935.08</v>
      </c>
      <c r="H183" s="41">
        <f>SUM(H179:H182)</f>
        <v>0</v>
      </c>
      <c r="I183" s="41">
        <f>SUM(I179:I182)</f>
        <v>0</v>
      </c>
      <c r="J183" s="41">
        <f>SUM(J179:J182)</f>
        <v>187000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9935.08</v>
      </c>
      <c r="H192" s="41">
        <f>+H183+SUM(H188:H191)</f>
        <v>0</v>
      </c>
      <c r="I192" s="41">
        <f>I177+I183+SUM(I188:I191)</f>
        <v>0</v>
      </c>
      <c r="J192" s="41">
        <f>J183</f>
        <v>187000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8787432.6199999992</v>
      </c>
      <c r="G193" s="47">
        <f>G112+G140+G169+G192</f>
        <v>168440.91999999998</v>
      </c>
      <c r="H193" s="47">
        <f>H112+H140+H169+H192</f>
        <v>263466.63</v>
      </c>
      <c r="I193" s="47">
        <f>I112+I140+I169+I192</f>
        <v>0</v>
      </c>
      <c r="J193" s="47">
        <f>J112+J140+J192</f>
        <v>187000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1537941.24</f>
        <v>1537941.24</v>
      </c>
      <c r="G197" s="18">
        <f>728370.25+33877.63</f>
        <v>762247.88</v>
      </c>
      <c r="H197" s="18">
        <f>2389314.99-2361742.59</f>
        <v>27572.400000000373</v>
      </c>
      <c r="I197" s="18">
        <v>56488.72</v>
      </c>
      <c r="J197" s="18">
        <v>6431.82</v>
      </c>
      <c r="K197" s="18">
        <v>310</v>
      </c>
      <c r="L197" s="19">
        <f>SUM(F197:K197)</f>
        <v>2390992.0600000005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706692.37</v>
      </c>
      <c r="G198" s="18">
        <f>12794.46+275081.25</f>
        <v>287875.71000000002</v>
      </c>
      <c r="H198" s="18">
        <f>774916.56-13521.42-160745.21</f>
        <v>600649.93000000005</v>
      </c>
      <c r="I198" s="18">
        <v>2642.91</v>
      </c>
      <c r="J198" s="18">
        <v>299</v>
      </c>
      <c r="K198" s="18"/>
      <c r="L198" s="19">
        <f>SUM(F198:K198)</f>
        <v>1598159.9200000002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15883.45</v>
      </c>
      <c r="G200" s="18">
        <f>3242.58+150.82</f>
        <v>3393.4</v>
      </c>
      <c r="H200" s="18">
        <v>14052.25</v>
      </c>
      <c r="I200" s="18">
        <v>11414.28</v>
      </c>
      <c r="J200" s="18"/>
      <c r="K200" s="18"/>
      <c r="L200" s="19">
        <f>SUM(F200:K200)</f>
        <v>44743.380000000005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178987.73</v>
      </c>
      <c r="G202" s="18">
        <f>355.03+39855.65+11144.31+5323.09+2636.19</f>
        <v>59314.270000000004</v>
      </c>
      <c r="H202" s="18">
        <v>12280</v>
      </c>
      <c r="I202" s="18">
        <v>1468.52</v>
      </c>
      <c r="J202" s="18"/>
      <c r="K202" s="18">
        <v>294</v>
      </c>
      <c r="L202" s="19">
        <f t="shared" ref="L202:L208" si="0">SUM(F202:K202)</f>
        <v>252344.52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46341</v>
      </c>
      <c r="G203" s="18">
        <f>11999.7+19483.79+1464.35</f>
        <v>32947.840000000004</v>
      </c>
      <c r="H203" s="18">
        <v>21758.37</v>
      </c>
      <c r="I203" s="18">
        <v>12930.56</v>
      </c>
      <c r="J203" s="18">
        <v>19420.96</v>
      </c>
      <c r="K203" s="18"/>
      <c r="L203" s="19">
        <f t="shared" si="0"/>
        <v>133398.72999999998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11280.58</v>
      </c>
      <c r="G204" s="18">
        <f>863.65+40.17</f>
        <v>903.81999999999994</v>
      </c>
      <c r="H204" s="18">
        <v>563591.87</v>
      </c>
      <c r="I204" s="18"/>
      <c r="J204" s="18"/>
      <c r="K204" s="18">
        <v>6555.14</v>
      </c>
      <c r="L204" s="19">
        <f t="shared" si="0"/>
        <v>582331.41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188564.58</v>
      </c>
      <c r="G205" s="18">
        <f>83109.98+3865.57</f>
        <v>86975.55</v>
      </c>
      <c r="H205" s="18">
        <v>19528.64</v>
      </c>
      <c r="I205" s="18">
        <v>3763.78</v>
      </c>
      <c r="J205" s="18"/>
      <c r="K205" s="18">
        <v>2562.02</v>
      </c>
      <c r="L205" s="19">
        <f t="shared" si="0"/>
        <v>301394.57000000007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121873.42</v>
      </c>
      <c r="G207" s="18">
        <f>26060.27+1212.1</f>
        <v>27272.37</v>
      </c>
      <c r="H207" s="18">
        <v>123744.83</v>
      </c>
      <c r="I207" s="18">
        <v>124695.51</v>
      </c>
      <c r="J207" s="18">
        <v>14500</v>
      </c>
      <c r="K207" s="18"/>
      <c r="L207" s="19">
        <f t="shared" si="0"/>
        <v>412086.13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194694.08</v>
      </c>
      <c r="G208" s="18">
        <f>61939.89+2880.92</f>
        <v>64820.81</v>
      </c>
      <c r="H208" s="18">
        <v>174829.76</v>
      </c>
      <c r="I208" s="18">
        <v>73142.070000000007</v>
      </c>
      <c r="J208" s="18">
        <v>1779.64</v>
      </c>
      <c r="K208" s="18">
        <v>9587.9</v>
      </c>
      <c r="L208" s="19">
        <f t="shared" si="0"/>
        <v>518854.26000000007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106614.66</v>
      </c>
      <c r="I209" s="18"/>
      <c r="J209" s="18">
        <v>81485.42</v>
      </c>
      <c r="K209" s="18"/>
      <c r="L209" s="19">
        <f>SUM(F209:K209)</f>
        <v>188100.08000000002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3002258.45</v>
      </c>
      <c r="G211" s="41">
        <f t="shared" si="1"/>
        <v>1325751.6500000004</v>
      </c>
      <c r="H211" s="41">
        <f t="shared" si="1"/>
        <v>1664622.7100000002</v>
      </c>
      <c r="I211" s="41">
        <f t="shared" si="1"/>
        <v>286546.34999999998</v>
      </c>
      <c r="J211" s="41">
        <f t="shared" si="1"/>
        <v>123916.84</v>
      </c>
      <c r="K211" s="41">
        <f t="shared" si="1"/>
        <v>19309.059999999998</v>
      </c>
      <c r="L211" s="41">
        <f t="shared" si="1"/>
        <v>6422405.0599999996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2361742.59</v>
      </c>
      <c r="I233" s="18"/>
      <c r="J233" s="18"/>
      <c r="K233" s="18"/>
      <c r="L233" s="19">
        <f>SUM(F233:K233)</f>
        <v>2361742.59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13521.42+160745.21</f>
        <v>174266.63</v>
      </c>
      <c r="I234" s="18"/>
      <c r="J234" s="18"/>
      <c r="K234" s="18"/>
      <c r="L234" s="19">
        <f>SUM(F234:K234)</f>
        <v>174266.63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2536009.2199999997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2536009.2199999997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3002258.45</v>
      </c>
      <c r="G257" s="41">
        <f t="shared" si="8"/>
        <v>1325751.6500000004</v>
      </c>
      <c r="H257" s="41">
        <f t="shared" si="8"/>
        <v>4200631.93</v>
      </c>
      <c r="I257" s="41">
        <f t="shared" si="8"/>
        <v>286546.34999999998</v>
      </c>
      <c r="J257" s="41">
        <f t="shared" si="8"/>
        <v>123916.84</v>
      </c>
      <c r="K257" s="41">
        <f t="shared" si="8"/>
        <v>19309.059999999998</v>
      </c>
      <c r="L257" s="41">
        <f t="shared" si="8"/>
        <v>8958414.2799999993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9935.08</v>
      </c>
      <c r="L263" s="19">
        <f>SUM(F263:K263)</f>
        <v>9935.08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187000</v>
      </c>
      <c r="L266" s="19">
        <f t="shared" si="9"/>
        <v>187000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196935.08</v>
      </c>
      <c r="L270" s="41">
        <f t="shared" si="9"/>
        <v>196935.08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3002258.45</v>
      </c>
      <c r="G271" s="42">
        <f t="shared" si="11"/>
        <v>1325751.6500000004</v>
      </c>
      <c r="H271" s="42">
        <f t="shared" si="11"/>
        <v>4200631.93</v>
      </c>
      <c r="I271" s="42">
        <f t="shared" si="11"/>
        <v>286546.34999999998</v>
      </c>
      <c r="J271" s="42">
        <f t="shared" si="11"/>
        <v>123916.84</v>
      </c>
      <c r="K271" s="42">
        <f t="shared" si="11"/>
        <v>216244.13999999998</v>
      </c>
      <c r="L271" s="42">
        <f t="shared" si="11"/>
        <v>9155349.3599999994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77906.94+4080</f>
        <v>81986.94</v>
      </c>
      <c r="G276" s="18">
        <f>46361.62+874.61</f>
        <v>47236.23</v>
      </c>
      <c r="H276" s="18">
        <v>905.03</v>
      </c>
      <c r="I276" s="18">
        <f>8276+5595</f>
        <v>13871</v>
      </c>
      <c r="J276" s="18">
        <v>10814</v>
      </c>
      <c r="K276" s="18"/>
      <c r="L276" s="19">
        <f>SUM(F276:K276)</f>
        <v>154813.20000000001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100</v>
      </c>
      <c r="G279" s="18">
        <v>21.81</v>
      </c>
      <c r="H279" s="18"/>
      <c r="I279" s="18"/>
      <c r="J279" s="18"/>
      <c r="K279" s="18"/>
      <c r="L279" s="19">
        <f>SUM(F279:K279)</f>
        <v>121.81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13550</v>
      </c>
      <c r="G281" s="18">
        <v>2959.01</v>
      </c>
      <c r="H281" s="18"/>
      <c r="I281" s="18"/>
      <c r="J281" s="18"/>
      <c r="K281" s="18"/>
      <c r="L281" s="19">
        <f t="shared" ref="L281:L287" si="12">SUM(F281:K281)</f>
        <v>16509.010000000002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25839.06+3000</f>
        <v>28839.06</v>
      </c>
      <c r="G282" s="18">
        <f>15442.57+578.96</f>
        <v>16021.529999999999</v>
      </c>
      <c r="H282" s="18">
        <f>11298.34+29673.79</f>
        <v>40972.130000000005</v>
      </c>
      <c r="I282" s="18">
        <v>196.29</v>
      </c>
      <c r="J282" s="18"/>
      <c r="K282" s="18"/>
      <c r="L282" s="19">
        <f t="shared" si="12"/>
        <v>86029.01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206.07</v>
      </c>
      <c r="L283" s="19">
        <f t="shared" si="12"/>
        <v>206.07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5787.53</v>
      </c>
      <c r="L285" s="19">
        <f t="shared" si="12"/>
        <v>5787.53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124476</v>
      </c>
      <c r="G290" s="42">
        <f t="shared" si="13"/>
        <v>66238.58</v>
      </c>
      <c r="H290" s="42">
        <f t="shared" si="13"/>
        <v>41877.160000000003</v>
      </c>
      <c r="I290" s="42">
        <f t="shared" si="13"/>
        <v>14067.29</v>
      </c>
      <c r="J290" s="42">
        <f t="shared" si="13"/>
        <v>10814</v>
      </c>
      <c r="K290" s="42">
        <f t="shared" si="13"/>
        <v>5993.5999999999995</v>
      </c>
      <c r="L290" s="41">
        <f t="shared" si="13"/>
        <v>263466.63000000006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124476</v>
      </c>
      <c r="G338" s="41">
        <f t="shared" si="20"/>
        <v>66238.58</v>
      </c>
      <c r="H338" s="41">
        <f t="shared" si="20"/>
        <v>41877.160000000003</v>
      </c>
      <c r="I338" s="41">
        <f t="shared" si="20"/>
        <v>14067.29</v>
      </c>
      <c r="J338" s="41">
        <f t="shared" si="20"/>
        <v>10814</v>
      </c>
      <c r="K338" s="41">
        <f t="shared" si="20"/>
        <v>5993.5999999999995</v>
      </c>
      <c r="L338" s="41">
        <f t="shared" si="20"/>
        <v>263466.63000000006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124476</v>
      </c>
      <c r="G352" s="41">
        <f>G338</f>
        <v>66238.58</v>
      </c>
      <c r="H352" s="41">
        <f>H338</f>
        <v>41877.160000000003</v>
      </c>
      <c r="I352" s="41">
        <f>I338</f>
        <v>14067.29</v>
      </c>
      <c r="J352" s="41">
        <f>J338</f>
        <v>10814</v>
      </c>
      <c r="K352" s="47">
        <f>K338+K351</f>
        <v>5993.5999999999995</v>
      </c>
      <c r="L352" s="41">
        <f>L338+L351</f>
        <v>263466.63000000006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163811.93+3143.76</f>
        <v>166955.69</v>
      </c>
      <c r="I358" s="18">
        <v>662.23</v>
      </c>
      <c r="J358" s="18">
        <v>1344</v>
      </c>
      <c r="K358" s="18"/>
      <c r="L358" s="13">
        <f>SUM(F358:K358)</f>
        <v>168961.92000000001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166955.69</v>
      </c>
      <c r="I362" s="47">
        <f t="shared" si="22"/>
        <v>662.23</v>
      </c>
      <c r="J362" s="47">
        <f t="shared" si="22"/>
        <v>1344</v>
      </c>
      <c r="K362" s="47">
        <f t="shared" si="22"/>
        <v>0</v>
      </c>
      <c r="L362" s="47">
        <f t="shared" si="22"/>
        <v>168961.92000000001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662.23</v>
      </c>
      <c r="G368" s="63"/>
      <c r="H368" s="63"/>
      <c r="I368" s="56">
        <f>SUM(F368:H368)</f>
        <v>662.23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662.23</v>
      </c>
      <c r="G369" s="47">
        <f>SUM(G367:G368)</f>
        <v>0</v>
      </c>
      <c r="H369" s="47">
        <f>SUM(H367:H368)</f>
        <v>0</v>
      </c>
      <c r="I369" s="47">
        <f>SUM(I367:I368)</f>
        <v>662.23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37000</v>
      </c>
      <c r="H389" s="18"/>
      <c r="I389" s="18"/>
      <c r="J389" s="24" t="s">
        <v>289</v>
      </c>
      <c r="K389" s="24" t="s">
        <v>289</v>
      </c>
      <c r="L389" s="56">
        <f t="shared" si="25"/>
        <v>37000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37000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37000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/>
      <c r="I397" s="18"/>
      <c r="J397" s="24" t="s">
        <v>289</v>
      </c>
      <c r="K397" s="24" t="s">
        <v>289</v>
      </c>
      <c r="L397" s="56">
        <f t="shared" si="26"/>
        <v>25000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f>50000+75000</f>
        <v>125000</v>
      </c>
      <c r="H400" s="18"/>
      <c r="I400" s="18"/>
      <c r="J400" s="24" t="s">
        <v>289</v>
      </c>
      <c r="K400" s="24" t="s">
        <v>289</v>
      </c>
      <c r="L400" s="56">
        <f t="shared" si="26"/>
        <v>125000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150000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150000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187000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187000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f>17188.85+57777</f>
        <v>74965.850000000006</v>
      </c>
      <c r="I415" s="18"/>
      <c r="J415" s="18"/>
      <c r="K415" s="18"/>
      <c r="L415" s="56">
        <f t="shared" si="27"/>
        <v>74965.850000000006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74965.850000000006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74965.850000000006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f>94958.48+6000+15700</f>
        <v>116658.48</v>
      </c>
      <c r="I426" s="18"/>
      <c r="J426" s="18"/>
      <c r="K426" s="18"/>
      <c r="L426" s="56">
        <f t="shared" si="29"/>
        <v>116658.48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116658.48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116658.48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191624.33000000002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191624.33000000002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27218.92+3550.47+8032.75</f>
        <v>38802.14</v>
      </c>
      <c r="G440" s="18">
        <f>47772.8+104950.79+2413.72+37528.14+54391.18+52571.91-862-1668.05</f>
        <v>297098.49000000005</v>
      </c>
      <c r="H440" s="18"/>
      <c r="I440" s="56">
        <f t="shared" si="33"/>
        <v>335900.63000000006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38802.14</v>
      </c>
      <c r="G446" s="13">
        <f>SUM(G439:G445)</f>
        <v>297098.49000000005</v>
      </c>
      <c r="H446" s="13">
        <f>SUM(H439:H445)</f>
        <v>0</v>
      </c>
      <c r="I446" s="13">
        <f>SUM(I439:I445)</f>
        <v>335900.63000000006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F440</f>
        <v>38802.14</v>
      </c>
      <c r="G459" s="18">
        <f>G440</f>
        <v>297098.49000000005</v>
      </c>
      <c r="H459" s="18"/>
      <c r="I459" s="56">
        <f t="shared" si="34"/>
        <v>335900.63000000006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38802.14</v>
      </c>
      <c r="G460" s="83">
        <f>SUM(G454:G459)</f>
        <v>297098.49000000005</v>
      </c>
      <c r="H460" s="83">
        <f>SUM(H454:H459)</f>
        <v>0</v>
      </c>
      <c r="I460" s="83">
        <f>SUM(I454:I459)</f>
        <v>335900.63000000006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38802.14</v>
      </c>
      <c r="G461" s="42">
        <f>G452+G460</f>
        <v>297098.49000000005</v>
      </c>
      <c r="H461" s="42">
        <f>H452+H460</f>
        <v>0</v>
      </c>
      <c r="I461" s="42">
        <f>I452+I460</f>
        <v>335900.63000000006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742662</v>
      </c>
      <c r="G465" s="18">
        <v>521</v>
      </c>
      <c r="H465" s="18"/>
      <c r="I465" s="18"/>
      <c r="J465" s="18">
        <v>192727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8787432.6199999992</v>
      </c>
      <c r="G468" s="18">
        <f>147856.92+20584</f>
        <v>168440.92</v>
      </c>
      <c r="H468" s="18">
        <v>263466.63</v>
      </c>
      <c r="I468" s="18"/>
      <c r="J468" s="18">
        <v>187000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147797.96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8787432.6199999992</v>
      </c>
      <c r="G470" s="53">
        <f>SUM(G468:G469)</f>
        <v>168440.92</v>
      </c>
      <c r="H470" s="53">
        <f>SUM(H468:H469)</f>
        <v>263466.63</v>
      </c>
      <c r="I470" s="53">
        <f>SUM(I468:I469)</f>
        <v>0</v>
      </c>
      <c r="J470" s="53">
        <f>SUM(J468:J469)</f>
        <v>334797.95999999996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9157017.41-1668.05</f>
        <v>9155349.3599999994</v>
      </c>
      <c r="G472" s="18">
        <v>168961.92000000001</v>
      </c>
      <c r="H472" s="18">
        <v>263466.63</v>
      </c>
      <c r="I472" s="18"/>
      <c r="J472" s="18">
        <v>191624.33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f>12741.73+1668.05</f>
        <v>14409.779999999999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9169759.1399999987</v>
      </c>
      <c r="G474" s="53">
        <f>SUM(G472:G473)</f>
        <v>168961.92000000001</v>
      </c>
      <c r="H474" s="53">
        <f>SUM(H472:H473)</f>
        <v>263466.63</v>
      </c>
      <c r="I474" s="53">
        <f>SUM(I472:I473)</f>
        <v>0</v>
      </c>
      <c r="J474" s="53">
        <f>SUM(J472:J473)</f>
        <v>191624.33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360335.48000000045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335900.63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 t="s">
        <v>912</v>
      </c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911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706962.37-42696.84</f>
        <v>664265.53</v>
      </c>
      <c r="G521" s="18">
        <f>275081.25+12794.46-26680.51</f>
        <v>261195.2</v>
      </c>
      <c r="H521" s="18">
        <f>761395.14-287312</f>
        <v>474083.14</v>
      </c>
      <c r="I521" s="18">
        <v>2642.91</v>
      </c>
      <c r="J521" s="18">
        <v>299</v>
      </c>
      <c r="K521" s="18"/>
      <c r="L521" s="88">
        <f>SUM(F521:K521)</f>
        <v>1402485.78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13521.42</v>
      </c>
      <c r="I523" s="18"/>
      <c r="J523" s="18"/>
      <c r="K523" s="18"/>
      <c r="L523" s="88">
        <f>SUM(F523:K523)</f>
        <v>13521.42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664265.53</v>
      </c>
      <c r="G524" s="108">
        <f t="shared" ref="G524:L524" si="36">SUM(G521:G523)</f>
        <v>261195.2</v>
      </c>
      <c r="H524" s="108">
        <f t="shared" si="36"/>
        <v>487604.56</v>
      </c>
      <c r="I524" s="108">
        <f t="shared" si="36"/>
        <v>2642.91</v>
      </c>
      <c r="J524" s="108">
        <f t="shared" si="36"/>
        <v>299</v>
      </c>
      <c r="K524" s="108">
        <f t="shared" si="36"/>
        <v>0</v>
      </c>
      <c r="L524" s="89">
        <f t="shared" si="36"/>
        <v>1416007.2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4"/>
      <c r="H526" s="18">
        <v>287312</v>
      </c>
      <c r="I526" s="18"/>
      <c r="J526" s="18"/>
      <c r="K526" s="18"/>
      <c r="L526" s="88">
        <f>SUM(F526:K526)</f>
        <v>287312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287312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287312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35898.48+6798.36</f>
        <v>42696.840000000004</v>
      </c>
      <c r="G531" s="18">
        <f>17368.33+3266.31+6045.87</f>
        <v>26680.510000000002</v>
      </c>
      <c r="H531" s="18"/>
      <c r="I531" s="18"/>
      <c r="J531" s="18"/>
      <c r="K531" s="18"/>
      <c r="L531" s="88">
        <f>SUM(F531:K531)</f>
        <v>69377.350000000006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42696.840000000004</v>
      </c>
      <c r="G534" s="89">
        <f>SUM(G531:G533)</f>
        <v>26680.510000000002</v>
      </c>
      <c r="H534" s="89">
        <f t="shared" ref="H534:L534" si="38">SUM(H531:H533)</f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69377.350000000006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69973.210000000006</v>
      </c>
      <c r="G541" s="18">
        <f>ROUND(F541*(0.0765+0.112),2)</f>
        <v>13189.95</v>
      </c>
      <c r="H541" s="18">
        <v>9565.58</v>
      </c>
      <c r="I541" s="18"/>
      <c r="J541" s="18"/>
      <c r="K541" s="18"/>
      <c r="L541" s="88">
        <f>SUM(F541:K541)</f>
        <v>92728.74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69973.210000000006</v>
      </c>
      <c r="G544" s="193">
        <f t="shared" ref="G544:L544" si="40">SUM(G541:G543)</f>
        <v>13189.95</v>
      </c>
      <c r="H544" s="193">
        <f t="shared" si="40"/>
        <v>9565.58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92728.74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776935.58</v>
      </c>
      <c r="G545" s="89">
        <f t="shared" ref="G545:L545" si="41">G524+G529+G534+G539+G544</f>
        <v>301065.66000000003</v>
      </c>
      <c r="H545" s="89">
        <f t="shared" si="41"/>
        <v>784482.14</v>
      </c>
      <c r="I545" s="89">
        <f t="shared" si="41"/>
        <v>2642.91</v>
      </c>
      <c r="J545" s="89">
        <f t="shared" si="41"/>
        <v>299</v>
      </c>
      <c r="K545" s="89">
        <f t="shared" si="41"/>
        <v>0</v>
      </c>
      <c r="L545" s="89">
        <f t="shared" si="41"/>
        <v>1865425.29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1402485.78</v>
      </c>
      <c r="G549" s="87">
        <f>L526</f>
        <v>287312</v>
      </c>
      <c r="H549" s="87">
        <f>L531</f>
        <v>69377.350000000006</v>
      </c>
      <c r="I549" s="87">
        <f>L536</f>
        <v>0</v>
      </c>
      <c r="J549" s="87">
        <f>L541</f>
        <v>92728.74</v>
      </c>
      <c r="K549" s="87">
        <f>SUM(F549:J549)</f>
        <v>1851903.87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13521.42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13521.42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1416007.2</v>
      </c>
      <c r="G552" s="89">
        <f t="shared" si="42"/>
        <v>287312</v>
      </c>
      <c r="H552" s="89">
        <f t="shared" si="42"/>
        <v>69377.350000000006</v>
      </c>
      <c r="I552" s="89">
        <f t="shared" si="42"/>
        <v>0</v>
      </c>
      <c r="J552" s="89">
        <f t="shared" si="42"/>
        <v>92728.74</v>
      </c>
      <c r="K552" s="89">
        <f t="shared" si="42"/>
        <v>1865425.29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2361742.59</v>
      </c>
      <c r="I575" s="87">
        <f>SUM(F575:H575)</f>
        <v>2361742.59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203527.8</v>
      </c>
      <c r="G579" s="18"/>
      <c r="H579" s="18">
        <v>160745.21</v>
      </c>
      <c r="I579" s="87">
        <f t="shared" si="47"/>
        <v>364273.01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46052.03</v>
      </c>
      <c r="G582" s="18"/>
      <c r="H582" s="18">
        <v>13521.42</v>
      </c>
      <c r="I582" s="87">
        <f t="shared" si="47"/>
        <v>59573.45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L208-H592-H593-H594-H595-H596-H597</f>
        <v>421238.83000000007</v>
      </c>
      <c r="I591" s="18"/>
      <c r="J591" s="18">
        <f>L244-J592-J593-J594-J595-J596-J597</f>
        <v>0</v>
      </c>
      <c r="K591" s="104">
        <f t="shared" ref="K591:K597" si="48">SUM(H591:J591)</f>
        <v>421238.83000000007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L541</f>
        <v>92728.74</v>
      </c>
      <c r="I592" s="18"/>
      <c r="J592" s="18">
        <f>L543</f>
        <v>0</v>
      </c>
      <c r="K592" s="104">
        <f t="shared" si="48"/>
        <v>92728.74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4127.54+315.76+443.39</f>
        <v>4886.6900000000005</v>
      </c>
      <c r="I595" s="18"/>
      <c r="J595" s="18"/>
      <c r="K595" s="104">
        <f t="shared" si="48"/>
        <v>4886.6900000000005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518854.26000000007</v>
      </c>
      <c r="I598" s="108">
        <f>SUM(I591:I597)</f>
        <v>0</v>
      </c>
      <c r="J598" s="108">
        <f>SUM(J591:J597)</f>
        <v>0</v>
      </c>
      <c r="K598" s="108">
        <f>SUM(K591:K597)</f>
        <v>518854.26000000007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134730.84</v>
      </c>
      <c r="I604" s="18"/>
      <c r="J604" s="18">
        <f>J247+J328</f>
        <v>0</v>
      </c>
      <c r="K604" s="104">
        <f>SUM(H604:J604)</f>
        <v>134730.84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134730.84</v>
      </c>
      <c r="I605" s="108">
        <f>SUM(I602:I604)</f>
        <v>0</v>
      </c>
      <c r="J605" s="108">
        <f>SUM(J602:J604)</f>
        <v>0</v>
      </c>
      <c r="K605" s="108">
        <f>SUM(K602:K604)</f>
        <v>134730.84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14023.35</v>
      </c>
      <c r="G611" s="18">
        <f>ROUND(F611*(0.0765+0.112),2)</f>
        <v>2643.4</v>
      </c>
      <c r="H611" s="18"/>
      <c r="I611" s="18"/>
      <c r="J611" s="18"/>
      <c r="K611" s="18"/>
      <c r="L611" s="88">
        <f>SUM(F611:K611)</f>
        <v>16666.75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14023.35</v>
      </c>
      <c r="G614" s="108">
        <f t="shared" si="49"/>
        <v>2643.4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16666.75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451117.31</v>
      </c>
      <c r="H617" s="109">
        <f>SUM(F52)</f>
        <v>451117.31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7339.34</v>
      </c>
      <c r="H618" s="109">
        <f>SUM(G52)</f>
        <v>7339.3399999999992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56482.36</v>
      </c>
      <c r="H619" s="109">
        <f>SUM(H52)</f>
        <v>56482.36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335900.63000000006</v>
      </c>
      <c r="H621" s="109">
        <f>SUM(J52)</f>
        <v>335900.63000000006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360335.48</v>
      </c>
      <c r="H622" s="109">
        <f>F476</f>
        <v>360335.48000000045</v>
      </c>
      <c r="I622" s="121" t="s">
        <v>101</v>
      </c>
      <c r="J622" s="109">
        <f t="shared" ref="J622:J655" si="50">G622-H622</f>
        <v>-4.6566128730773926E-10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335900.63000000006</v>
      </c>
      <c r="H626" s="109">
        <f>J476</f>
        <v>335900.63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8787432.6199999992</v>
      </c>
      <c r="H627" s="104">
        <f>SUM(F468)</f>
        <v>8787432.6199999992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168440.91999999998</v>
      </c>
      <c r="H628" s="104">
        <f>SUM(G468)</f>
        <v>168440.92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263466.63</v>
      </c>
      <c r="H629" s="104">
        <f>SUM(H468)</f>
        <v>263466.63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187000</v>
      </c>
      <c r="H631" s="104">
        <f>SUM(J468)</f>
        <v>187000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9155349.3599999994</v>
      </c>
      <c r="H632" s="104">
        <f>SUM(F472)</f>
        <v>9155349.3599999994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263466.63000000006</v>
      </c>
      <c r="H633" s="104">
        <f>SUM(H472)</f>
        <v>263466.63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662.23</v>
      </c>
      <c r="H634" s="104">
        <f>I369</f>
        <v>662.23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168961.92000000001</v>
      </c>
      <c r="H635" s="104">
        <f>SUM(G472)</f>
        <v>168961.92000000001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187000</v>
      </c>
      <c r="H637" s="164">
        <f>SUM(J468)</f>
        <v>187000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191624.33000000002</v>
      </c>
      <c r="H638" s="164">
        <f>SUM(J472)</f>
        <v>191624.33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38802.14</v>
      </c>
      <c r="H639" s="104">
        <f>SUM(F461)</f>
        <v>38802.14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297098.49000000005</v>
      </c>
      <c r="H640" s="104">
        <f>SUM(G461)</f>
        <v>297098.49000000005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335900.63000000006</v>
      </c>
      <c r="H642" s="104">
        <f>SUM(I461)</f>
        <v>335900.63000000006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187000</v>
      </c>
      <c r="H645" s="104">
        <f>G408</f>
        <v>187000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187000</v>
      </c>
      <c r="H646" s="104">
        <f>L408</f>
        <v>187000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518854.26000000007</v>
      </c>
      <c r="H647" s="104">
        <f>L208+L226+L244</f>
        <v>518854.26000000007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134730.84</v>
      </c>
      <c r="H648" s="104">
        <f>(J257+J338)-(J255+J336)</f>
        <v>134730.84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518854.26000000007</v>
      </c>
      <c r="H649" s="104">
        <f>H598</f>
        <v>518854.26000000007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9935.08</v>
      </c>
      <c r="H652" s="104">
        <f>K263+K345</f>
        <v>9935.08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187000</v>
      </c>
      <c r="H655" s="104">
        <f>K266+K347</f>
        <v>187000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6854833.6099999994</v>
      </c>
      <c r="G660" s="19">
        <f>(L229+L309+L359)</f>
        <v>0</v>
      </c>
      <c r="H660" s="19">
        <f>(L247+L328+L360)</f>
        <v>2536009.2199999997</v>
      </c>
      <c r="I660" s="19">
        <f>SUM(F660:H660)</f>
        <v>9390842.8299999982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41811.1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41811.1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517074.62000000005</v>
      </c>
      <c r="G662" s="19">
        <f>(L226+L306)-(J226+J306)</f>
        <v>0</v>
      </c>
      <c r="H662" s="19">
        <f>(L244+L325)-(J244+J325)</f>
        <v>0</v>
      </c>
      <c r="I662" s="19">
        <f>SUM(F662:H662)</f>
        <v>517074.62000000005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400977.42</v>
      </c>
      <c r="G663" s="199">
        <f>SUM(G575:G587)+SUM(I602:I604)+L612</f>
        <v>0</v>
      </c>
      <c r="H663" s="199">
        <f>SUM(H575:H587)+SUM(J602:J604)+L613</f>
        <v>2536009.2199999997</v>
      </c>
      <c r="I663" s="19">
        <f>SUM(F663:H663)</f>
        <v>2936986.6399999997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5894970.4699999988</v>
      </c>
      <c r="G664" s="19">
        <f>G660-SUM(G661:G663)</f>
        <v>0</v>
      </c>
      <c r="H664" s="19">
        <f>H660-SUM(H661:H663)</f>
        <v>0</v>
      </c>
      <c r="I664" s="19">
        <f>I660-SUM(I661:I663)</f>
        <v>5894970.4699999988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410.34</v>
      </c>
      <c r="G665" s="248"/>
      <c r="H665" s="248"/>
      <c r="I665" s="19">
        <f>SUM(F665:H665)</f>
        <v>410.34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14366.06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14366.06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14366.06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14366.06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9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Wakefield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1619928.18</v>
      </c>
      <c r="C9" s="229">
        <f>'DOE25'!G197+'DOE25'!G215+'DOE25'!G233+'DOE25'!G276+'DOE25'!G295+'DOE25'!G314</f>
        <v>809484.11</v>
      </c>
    </row>
    <row r="10" spans="1:3" x14ac:dyDescent="0.2">
      <c r="A10" t="s">
        <v>779</v>
      </c>
      <c r="B10" s="240">
        <f>1492100.17+77906.94</f>
        <v>1570007.1099999999</v>
      </c>
      <c r="C10" s="240">
        <f>392020.54+16600.55+4568.24+204518.79+110662.13-3506.84+33877.63+46361.62</f>
        <v>805102.66</v>
      </c>
    </row>
    <row r="11" spans="1:3" x14ac:dyDescent="0.2">
      <c r="A11" t="s">
        <v>780</v>
      </c>
      <c r="B11" s="240">
        <v>4080</v>
      </c>
      <c r="C11" s="240">
        <f>874.61</f>
        <v>874.61</v>
      </c>
    </row>
    <row r="12" spans="1:3" x14ac:dyDescent="0.2">
      <c r="A12" t="s">
        <v>781</v>
      </c>
      <c r="B12" s="240">
        <f>45841.07</f>
        <v>45841.07</v>
      </c>
      <c r="C12" s="240">
        <v>3506.84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1619928.18</v>
      </c>
      <c r="C13" s="231">
        <f>SUM(C10:C12)</f>
        <v>809484.11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706692.37</v>
      </c>
      <c r="C18" s="229">
        <f>'DOE25'!G198+'DOE25'!G216+'DOE25'!G234+'DOE25'!G277+'DOE25'!G296+'DOE25'!G315</f>
        <v>287875.71000000002</v>
      </c>
    </row>
    <row r="19" spans="1:3" x14ac:dyDescent="0.2">
      <c r="A19" t="s">
        <v>779</v>
      </c>
      <c r="B19" s="240">
        <f>265487.22+14023.35</f>
        <v>279510.56999999995</v>
      </c>
      <c r="C19" s="240">
        <f>45308.19+12794.46+1749.81+819.96+20200.78+39129.19</f>
        <v>120002.39</v>
      </c>
    </row>
    <row r="20" spans="1:3" x14ac:dyDescent="0.2">
      <c r="A20" t="s">
        <v>780</v>
      </c>
      <c r="B20" s="240">
        <f>386473.7+22128.71</f>
        <v>408602.41000000003</v>
      </c>
      <c r="C20" s="240">
        <f>79000.42+11508.69+29157.77+44028.12</f>
        <v>163695</v>
      </c>
    </row>
    <row r="21" spans="1:3" x14ac:dyDescent="0.2">
      <c r="A21" t="s">
        <v>781</v>
      </c>
      <c r="B21" s="240">
        <f>17499.39+1080</f>
        <v>18579.39</v>
      </c>
      <c r="C21" s="240">
        <f>2293.66+1884.66</f>
        <v>4178.32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706692.37</v>
      </c>
      <c r="C22" s="231">
        <f>SUM(C19:C21)</f>
        <v>287875.71000000002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15983.45</v>
      </c>
      <c r="C36" s="235">
        <f>'DOE25'!G200+'DOE25'!G218+'DOE25'!G236+'DOE25'!G279+'DOE25'!G298+'DOE25'!G317</f>
        <v>3415.21</v>
      </c>
    </row>
    <row r="37" spans="1:3" x14ac:dyDescent="0.2">
      <c r="A37" t="s">
        <v>779</v>
      </c>
      <c r="B37" s="240">
        <v>15883.45</v>
      </c>
      <c r="C37" s="240">
        <f>3242.58+150.82</f>
        <v>3393.4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100</v>
      </c>
      <c r="C39" s="240">
        <v>21.81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15983.45</v>
      </c>
      <c r="C40" s="231">
        <f>SUM(C37:C39)</f>
        <v>3415.21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Wakefield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6569904.5800000001</v>
      </c>
      <c r="D5" s="20">
        <f>SUM('DOE25'!L197:L200)+SUM('DOE25'!L215:L218)+SUM('DOE25'!L233:L236)-F5-G5</f>
        <v>6562863.7599999998</v>
      </c>
      <c r="E5" s="243"/>
      <c r="F5" s="255">
        <f>SUM('DOE25'!J197:J200)+SUM('DOE25'!J215:J218)+SUM('DOE25'!J233:J236)</f>
        <v>6730.82</v>
      </c>
      <c r="G5" s="53">
        <f>SUM('DOE25'!K197:K200)+SUM('DOE25'!K215:K218)+SUM('DOE25'!K233:K236)</f>
        <v>310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252344.52</v>
      </c>
      <c r="D6" s="20">
        <f>'DOE25'!L202+'DOE25'!L220+'DOE25'!L238-F6-G6</f>
        <v>252050.52</v>
      </c>
      <c r="E6" s="243"/>
      <c r="F6" s="255">
        <f>'DOE25'!J202+'DOE25'!J220+'DOE25'!J238</f>
        <v>0</v>
      </c>
      <c r="G6" s="53">
        <f>'DOE25'!K202+'DOE25'!K220+'DOE25'!K238</f>
        <v>294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133398.72999999998</v>
      </c>
      <c r="D7" s="20">
        <f>'DOE25'!L203+'DOE25'!L221+'DOE25'!L239-F7-G7</f>
        <v>113977.76999999999</v>
      </c>
      <c r="E7" s="243"/>
      <c r="F7" s="255">
        <f>'DOE25'!J203+'DOE25'!J221+'DOE25'!J239</f>
        <v>19420.96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389322.73000000004</v>
      </c>
      <c r="D8" s="243"/>
      <c r="E8" s="20">
        <f>'DOE25'!L204+'DOE25'!L222+'DOE25'!L240-F8-G8-D9-D11</f>
        <v>382767.59</v>
      </c>
      <c r="F8" s="255">
        <f>'DOE25'!J204+'DOE25'!J222+'DOE25'!J240</f>
        <v>0</v>
      </c>
      <c r="G8" s="53">
        <f>'DOE25'!K204+'DOE25'!K222+'DOE25'!K240</f>
        <v>6555.14</v>
      </c>
      <c r="H8" s="259"/>
    </row>
    <row r="9" spans="1:9" x14ac:dyDescent="0.2">
      <c r="A9" s="32">
        <v>2310</v>
      </c>
      <c r="B9" t="s">
        <v>818</v>
      </c>
      <c r="C9" s="245">
        <f t="shared" si="0"/>
        <v>62735.94</v>
      </c>
      <c r="D9" s="244">
        <v>62735.94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9284.59</v>
      </c>
      <c r="D10" s="243"/>
      <c r="E10" s="244">
        <v>9284.59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130272.74</v>
      </c>
      <c r="D11" s="244">
        <v>130272.74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301394.57000000007</v>
      </c>
      <c r="D12" s="20">
        <f>'DOE25'!L205+'DOE25'!L223+'DOE25'!L241-F12-G12</f>
        <v>298832.55000000005</v>
      </c>
      <c r="E12" s="243"/>
      <c r="F12" s="255">
        <f>'DOE25'!J205+'DOE25'!J223+'DOE25'!J241</f>
        <v>0</v>
      </c>
      <c r="G12" s="53">
        <f>'DOE25'!K205+'DOE25'!K223+'DOE25'!K241</f>
        <v>2562.02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412086.13</v>
      </c>
      <c r="D14" s="20">
        <f>'DOE25'!L207+'DOE25'!L225+'DOE25'!L243-F14-G14</f>
        <v>397586.13</v>
      </c>
      <c r="E14" s="243"/>
      <c r="F14" s="255">
        <f>'DOE25'!J207+'DOE25'!J225+'DOE25'!J243</f>
        <v>14500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518854.26000000007</v>
      </c>
      <c r="D15" s="20">
        <f>'DOE25'!L208+'DOE25'!L226+'DOE25'!L244-F15-G15</f>
        <v>507486.72000000003</v>
      </c>
      <c r="E15" s="243"/>
      <c r="F15" s="255">
        <f>'DOE25'!J208+'DOE25'!J226+'DOE25'!J244</f>
        <v>1779.64</v>
      </c>
      <c r="G15" s="53">
        <f>'DOE25'!K208+'DOE25'!K226+'DOE25'!K244</f>
        <v>9587.9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188100.08000000002</v>
      </c>
      <c r="D16" s="243"/>
      <c r="E16" s="20">
        <f>'DOE25'!L209+'DOE25'!L227+'DOE25'!L245-F16-G16</f>
        <v>106614.66000000002</v>
      </c>
      <c r="F16" s="255">
        <f>'DOE25'!J209+'DOE25'!J227+'DOE25'!J245</f>
        <v>81485.42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168961.92000000001</v>
      </c>
      <c r="D29" s="20">
        <f>'DOE25'!L358+'DOE25'!L359+'DOE25'!L360-'DOE25'!I367-F29-G29</f>
        <v>167617.92000000001</v>
      </c>
      <c r="E29" s="243"/>
      <c r="F29" s="255">
        <f>'DOE25'!J358+'DOE25'!J359+'DOE25'!J360</f>
        <v>1344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263466.63000000006</v>
      </c>
      <c r="D31" s="20">
        <f>'DOE25'!L290+'DOE25'!L309+'DOE25'!L328+'DOE25'!L333+'DOE25'!L334+'DOE25'!L335-F31-G31</f>
        <v>246659.03000000006</v>
      </c>
      <c r="E31" s="243"/>
      <c r="F31" s="255">
        <f>'DOE25'!J290+'DOE25'!J309+'DOE25'!J328+'DOE25'!J333+'DOE25'!J334+'DOE25'!J335</f>
        <v>10814</v>
      </c>
      <c r="G31" s="53">
        <f>'DOE25'!K290+'DOE25'!K309+'DOE25'!K328+'DOE25'!K333+'DOE25'!K334+'DOE25'!K335</f>
        <v>5993.5999999999995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8740083.0799999982</v>
      </c>
      <c r="E33" s="246">
        <f>SUM(E5:E31)</f>
        <v>498666.84000000008</v>
      </c>
      <c r="F33" s="246">
        <f>SUM(F5:F31)</f>
        <v>136074.84</v>
      </c>
      <c r="G33" s="246">
        <f>SUM(G5:G31)</f>
        <v>25302.659999999996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498666.84000000008</v>
      </c>
      <c r="E35" s="249"/>
    </row>
    <row r="36" spans="2:8" ht="12" thickTop="1" x14ac:dyDescent="0.2">
      <c r="B36" t="s">
        <v>815</v>
      </c>
      <c r="D36" s="20">
        <f>D33</f>
        <v>8740083.0799999982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11" activePane="bottomLeft" state="frozen"/>
      <selection activeCell="F46" sqref="F46"/>
      <selection pane="bottomLeft" activeCell="G96" sqref="G9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Wakefield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387090.84</v>
      </c>
      <c r="D8" s="95">
        <f>'DOE25'!G9</f>
        <v>616.51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335900.63000000006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-11094.220000000001</v>
      </c>
      <c r="D12" s="95">
        <f>'DOE25'!G13</f>
        <v>0</v>
      </c>
      <c r="E12" s="95">
        <f>'DOE25'!H13</f>
        <v>56482.36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75120.69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6722.83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451117.31</v>
      </c>
      <c r="D18" s="41">
        <f>SUM(D8:D17)</f>
        <v>7339.34</v>
      </c>
      <c r="E18" s="41">
        <f>SUM(E8:E17)</f>
        <v>56482.36</v>
      </c>
      <c r="F18" s="41">
        <f>SUM(F8:F17)</f>
        <v>0</v>
      </c>
      <c r="G18" s="41">
        <f>SUM(G8:G17)</f>
        <v>335900.63000000006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-27824.1</v>
      </c>
      <c r="D21" s="95">
        <f>'DOE25'!G22</f>
        <v>0</v>
      </c>
      <c r="E21" s="95">
        <f>'DOE25'!H22</f>
        <v>54893.69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-969.35</v>
      </c>
      <c r="D22" s="95">
        <f>'DOE25'!G23</f>
        <v>-6506.54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119575.28</v>
      </c>
      <c r="D23" s="95">
        <f>'DOE25'!G24</f>
        <v>13845.88</v>
      </c>
      <c r="E23" s="95">
        <f>'DOE25'!H24</f>
        <v>1588.67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90781.83</v>
      </c>
      <c r="D31" s="41">
        <f>SUM(D21:D30)</f>
        <v>7339.3399999999992</v>
      </c>
      <c r="E31" s="41">
        <f>SUM(E21:E30)</f>
        <v>56482.36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335900.63000000006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360335.48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360335.48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335900.63000000006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451117.31</v>
      </c>
      <c r="D51" s="41">
        <f>D50+D31</f>
        <v>7339.3399999999992</v>
      </c>
      <c r="E51" s="41">
        <f>E50+E31</f>
        <v>56482.36</v>
      </c>
      <c r="F51" s="41">
        <f>F50+F31</f>
        <v>0</v>
      </c>
      <c r="G51" s="41">
        <f>G50+G31</f>
        <v>335900.63000000006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5362750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7479.21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41811.1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3797.3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11276.51</v>
      </c>
      <c r="D62" s="130">
        <f>SUM(D57:D61)</f>
        <v>41811.1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5374026.5099999998</v>
      </c>
      <c r="D63" s="22">
        <f>D56+D62</f>
        <v>41811.1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1128910.79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2143358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3272268.79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26044.89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23049.35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26044.89</v>
      </c>
      <c r="D78" s="130">
        <f>SUM(D72:D77)</f>
        <v>23049.35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3298313.68</v>
      </c>
      <c r="D81" s="130">
        <f>SUM(D79:D80)+D78+D70</f>
        <v>23049.35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11270.79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115092.43</v>
      </c>
      <c r="D88" s="95">
        <f>SUM('DOE25'!G153:G161)</f>
        <v>93645.39</v>
      </c>
      <c r="E88" s="95">
        <f>SUM('DOE25'!H153:H161)</f>
        <v>252195.84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115092.43</v>
      </c>
      <c r="D91" s="131">
        <f>SUM(D85:D90)</f>
        <v>93645.39</v>
      </c>
      <c r="E91" s="131">
        <f>SUM(E85:E90)</f>
        <v>263466.63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9935.08</v>
      </c>
      <c r="E96" s="95">
        <f>'DOE25'!H179</f>
        <v>0</v>
      </c>
      <c r="F96" s="95">
        <f>'DOE25'!I179</f>
        <v>0</v>
      </c>
      <c r="G96" s="95">
        <f>'DOE25'!J179</f>
        <v>187000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9935.08</v>
      </c>
      <c r="E103" s="86">
        <f>SUM(E93:E102)</f>
        <v>0</v>
      </c>
      <c r="F103" s="86">
        <f>SUM(F93:F102)</f>
        <v>0</v>
      </c>
      <c r="G103" s="86">
        <f>SUM(G93:G102)</f>
        <v>187000</v>
      </c>
    </row>
    <row r="104" spans="1:7" ht="12.75" thickTop="1" thickBot="1" x14ac:dyDescent="0.25">
      <c r="A104" s="33" t="s">
        <v>765</v>
      </c>
      <c r="C104" s="86">
        <f>C63+C81+C91+C103</f>
        <v>8787432.6199999992</v>
      </c>
      <c r="D104" s="86">
        <f>D63+D81+D91+D103</f>
        <v>168440.91999999998</v>
      </c>
      <c r="E104" s="86">
        <f>E63+E81+E91+E103</f>
        <v>263466.63</v>
      </c>
      <c r="F104" s="86">
        <f>F63+F81+F91+F103</f>
        <v>0</v>
      </c>
      <c r="G104" s="86">
        <f>G63+G81+G103</f>
        <v>187000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4752734.6500000004</v>
      </c>
      <c r="D109" s="24" t="s">
        <v>289</v>
      </c>
      <c r="E109" s="95">
        <f>('DOE25'!L276)+('DOE25'!L295)+('DOE25'!L314)</f>
        <v>154813.20000000001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1772426.5500000003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44743.380000000005</v>
      </c>
      <c r="D112" s="24" t="s">
        <v>289</v>
      </c>
      <c r="E112" s="95">
        <f>+('DOE25'!L279)+('DOE25'!L298)+('DOE25'!L317)</f>
        <v>121.81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6569904.580000001</v>
      </c>
      <c r="D115" s="86">
        <f>SUM(D109:D114)</f>
        <v>0</v>
      </c>
      <c r="E115" s="86">
        <f>SUM(E109:E114)</f>
        <v>154935.01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252344.52</v>
      </c>
      <c r="D118" s="24" t="s">
        <v>289</v>
      </c>
      <c r="E118" s="95">
        <f>+('DOE25'!L281)+('DOE25'!L300)+('DOE25'!L319)</f>
        <v>16509.010000000002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133398.72999999998</v>
      </c>
      <c r="D119" s="24" t="s">
        <v>289</v>
      </c>
      <c r="E119" s="95">
        <f>+('DOE25'!L282)+('DOE25'!L301)+('DOE25'!L320)</f>
        <v>86029.01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582331.41</v>
      </c>
      <c r="D120" s="24" t="s">
        <v>289</v>
      </c>
      <c r="E120" s="95">
        <f>+('DOE25'!L283)+('DOE25'!L302)+('DOE25'!L321)</f>
        <v>206.07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301394.57000000007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5787.53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412086.13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518854.26000000007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188100.08000000002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168961.92000000001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2388509.7000000002</v>
      </c>
      <c r="D128" s="86">
        <f>SUM(D118:D127)</f>
        <v>168961.92000000001</v>
      </c>
      <c r="E128" s="86">
        <f>SUM(E118:E127)</f>
        <v>108531.62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9935.08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37000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150000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196935.08000000002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9155349.3600000013</v>
      </c>
      <c r="D145" s="86">
        <f>(D115+D128+D144)</f>
        <v>168961.92000000001</v>
      </c>
      <c r="E145" s="86">
        <f>(E115+E128+E144)</f>
        <v>263466.63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Wakefield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14366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14366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4907548</v>
      </c>
      <c r="D10" s="182">
        <f>ROUND((C10/$C$28)*100,1)</f>
        <v>52.5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1772427</v>
      </c>
      <c r="D11" s="182">
        <f>ROUND((C11/$C$28)*100,1)</f>
        <v>19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44865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268854</v>
      </c>
      <c r="D15" s="182">
        <f t="shared" ref="D15:D27" si="0">ROUND((C15/$C$28)*100,1)</f>
        <v>2.9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219428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770638</v>
      </c>
      <c r="D17" s="182">
        <f t="shared" si="0"/>
        <v>8.1999999999999993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301395</v>
      </c>
      <c r="D18" s="182">
        <f t="shared" si="0"/>
        <v>3.2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5788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412086</v>
      </c>
      <c r="D20" s="182">
        <f t="shared" si="0"/>
        <v>4.4000000000000004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518854</v>
      </c>
      <c r="D21" s="182">
        <f t="shared" si="0"/>
        <v>5.5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127150.9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9349033.9000000004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9349033.9000000004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5362750</v>
      </c>
      <c r="D35" s="182">
        <f t="shared" ref="D35:D40" si="1">ROUND((C35/$C$41)*100,1)</f>
        <v>58.5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11276.509999999776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3272269</v>
      </c>
      <c r="D37" s="182">
        <f t="shared" si="1"/>
        <v>35.700000000000003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49094</v>
      </c>
      <c r="D38" s="182">
        <f t="shared" si="1"/>
        <v>0.5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472204</v>
      </c>
      <c r="D39" s="182">
        <f t="shared" si="1"/>
        <v>5.2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9167593.5099999998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Wakefield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2015-09-10T13:06:18Z</cp:lastPrinted>
  <dcterms:created xsi:type="dcterms:W3CDTF">1997-12-04T19:04:30Z</dcterms:created>
  <dcterms:modified xsi:type="dcterms:W3CDTF">2015-11-30T14:55:25Z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