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4" i="1" l="1"/>
  <c r="F281" i="1"/>
  <c r="H282" i="1"/>
  <c r="H281" i="1"/>
  <c r="G440" i="1" l="1"/>
  <c r="H468" i="1"/>
  <c r="G158" i="1"/>
  <c r="G132" i="1"/>
  <c r="G97" i="1"/>
  <c r="H155" i="1"/>
  <c r="H154" i="1"/>
  <c r="H63" i="1"/>
  <c r="H102" i="1"/>
  <c r="G197" i="1"/>
  <c r="F473" i="1"/>
  <c r="F468" i="1"/>
  <c r="G198" i="1"/>
  <c r="F198" i="1"/>
  <c r="H204" i="1"/>
  <c r="H222" i="1"/>
  <c r="H240" i="1"/>
  <c r="G203" i="1"/>
  <c r="J197" i="1"/>
  <c r="F24" i="1"/>
  <c r="F9" i="1" l="1"/>
  <c r="H523" i="1" l="1"/>
  <c r="H522" i="1"/>
  <c r="H521" i="1"/>
  <c r="H207" i="1" l="1"/>
  <c r="H197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C20" i="10" s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B37" i="12" s="1"/>
  <c r="C36" i="12"/>
  <c r="B40" i="12"/>
  <c r="C40" i="12"/>
  <c r="B27" i="12"/>
  <c r="C27" i="12"/>
  <c r="B31" i="12"/>
  <c r="C31" i="12"/>
  <c r="B9" i="12"/>
  <c r="B10" i="12" s="1"/>
  <c r="B13" i="12"/>
  <c r="C9" i="12"/>
  <c r="C13" i="12"/>
  <c r="B18" i="12"/>
  <c r="B19" i="12" s="1"/>
  <c r="B22" i="12" s="1"/>
  <c r="C18" i="12"/>
  <c r="C20" i="12" s="1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K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H470" i="1"/>
  <c r="I470" i="1"/>
  <c r="I476" i="1" s="1"/>
  <c r="H625" i="1" s="1"/>
  <c r="J470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G565" i="1" s="1"/>
  <c r="H560" i="1"/>
  <c r="H571" i="1" s="1"/>
  <c r="I560" i="1"/>
  <c r="J560" i="1"/>
  <c r="K560" i="1"/>
  <c r="L562" i="1"/>
  <c r="L563" i="1"/>
  <c r="L564" i="1"/>
  <c r="F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3" i="1"/>
  <c r="H627" i="1"/>
  <c r="H629" i="1"/>
  <c r="H630" i="1"/>
  <c r="H631" i="1"/>
  <c r="H634" i="1"/>
  <c r="H636" i="1"/>
  <c r="H637" i="1"/>
  <c r="H638" i="1"/>
  <c r="G639" i="1"/>
  <c r="H639" i="1"/>
  <c r="J639" i="1" s="1"/>
  <c r="G641" i="1"/>
  <c r="H641" i="1"/>
  <c r="J641" i="1" s="1"/>
  <c r="G643" i="1"/>
  <c r="H643" i="1"/>
  <c r="J643" i="1" s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I257" i="1"/>
  <c r="G257" i="1"/>
  <c r="G271" i="1" s="1"/>
  <c r="L328" i="1"/>
  <c r="A31" i="12"/>
  <c r="C91" i="2"/>
  <c r="D50" i="2"/>
  <c r="D91" i="2"/>
  <c r="G62" i="2"/>
  <c r="D19" i="13"/>
  <c r="C19" i="13" s="1"/>
  <c r="E78" i="2"/>
  <c r="L419" i="1"/>
  <c r="I169" i="1"/>
  <c r="J476" i="1"/>
  <c r="H626" i="1" s="1"/>
  <c r="J140" i="1"/>
  <c r="G22" i="2"/>
  <c r="H140" i="1"/>
  <c r="F22" i="13"/>
  <c r="C22" i="13" s="1"/>
  <c r="H192" i="1"/>
  <c r="F552" i="1"/>
  <c r="L570" i="1"/>
  <c r="I571" i="1"/>
  <c r="G36" i="2"/>
  <c r="L534" i="1" l="1"/>
  <c r="A40" i="12"/>
  <c r="A13" i="12"/>
  <c r="L544" i="1"/>
  <c r="J552" i="1"/>
  <c r="H545" i="1"/>
  <c r="J645" i="1"/>
  <c r="J640" i="1"/>
  <c r="I460" i="1"/>
  <c r="I461" i="1" s="1"/>
  <c r="H642" i="1" s="1"/>
  <c r="J642" i="1" s="1"/>
  <c r="K598" i="1"/>
  <c r="G647" i="1" s="1"/>
  <c r="H661" i="1"/>
  <c r="H112" i="1"/>
  <c r="H193" i="1" s="1"/>
  <c r="G629" i="1" s="1"/>
  <c r="J629" i="1" s="1"/>
  <c r="H52" i="1"/>
  <c r="H619" i="1" s="1"/>
  <c r="J619" i="1" s="1"/>
  <c r="F112" i="1"/>
  <c r="G617" i="1"/>
  <c r="G624" i="1"/>
  <c r="D31" i="2"/>
  <c r="D51" i="2" s="1"/>
  <c r="J651" i="1"/>
  <c r="L565" i="1"/>
  <c r="J571" i="1"/>
  <c r="K571" i="1"/>
  <c r="L560" i="1"/>
  <c r="D81" i="2"/>
  <c r="F571" i="1"/>
  <c r="G164" i="2"/>
  <c r="G157" i="2"/>
  <c r="G156" i="2"/>
  <c r="C78" i="2"/>
  <c r="F18" i="2"/>
  <c r="E103" i="2"/>
  <c r="C70" i="2"/>
  <c r="I545" i="1"/>
  <c r="G552" i="1"/>
  <c r="K551" i="1"/>
  <c r="K552" i="1" s="1"/>
  <c r="K545" i="1"/>
  <c r="G545" i="1"/>
  <c r="L362" i="1"/>
  <c r="G472" i="1" s="1"/>
  <c r="G661" i="1"/>
  <c r="D29" i="13"/>
  <c r="C29" i="13" s="1"/>
  <c r="C18" i="2"/>
  <c r="L270" i="1"/>
  <c r="L247" i="1"/>
  <c r="K257" i="1"/>
  <c r="K271" i="1" s="1"/>
  <c r="H257" i="1"/>
  <c r="H271" i="1" s="1"/>
  <c r="L211" i="1"/>
  <c r="E128" i="2"/>
  <c r="C16" i="13"/>
  <c r="E13" i="13"/>
  <c r="C13" i="13" s="1"/>
  <c r="E8" i="13"/>
  <c r="C8" i="13" s="1"/>
  <c r="D12" i="13"/>
  <c r="C12" i="13" s="1"/>
  <c r="L290" i="1"/>
  <c r="L338" i="1" s="1"/>
  <c r="L352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C19" i="10"/>
  <c r="C15" i="10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L545" i="1" l="1"/>
  <c r="G633" i="1"/>
  <c r="H472" i="1"/>
  <c r="L571" i="1"/>
  <c r="J647" i="1"/>
  <c r="H646" i="1"/>
  <c r="G635" i="1"/>
  <c r="G664" i="1"/>
  <c r="G667" i="1" s="1"/>
  <c r="G474" i="1"/>
  <c r="H635" i="1"/>
  <c r="J635" i="1" s="1"/>
  <c r="C81" i="2"/>
  <c r="D104" i="2"/>
  <c r="D31" i="13"/>
  <c r="C31" i="13" s="1"/>
  <c r="E145" i="2"/>
  <c r="F104" i="2"/>
  <c r="E104" i="2"/>
  <c r="G51" i="2"/>
  <c r="I661" i="1"/>
  <c r="C63" i="2"/>
  <c r="F660" i="1"/>
  <c r="F664" i="1" s="1"/>
  <c r="L257" i="1"/>
  <c r="L271" i="1" s="1"/>
  <c r="H660" i="1"/>
  <c r="H664" i="1" s="1"/>
  <c r="H672" i="1" s="1"/>
  <c r="C6" i="10" s="1"/>
  <c r="C128" i="2"/>
  <c r="C145" i="2" s="1"/>
  <c r="C25" i="13"/>
  <c r="H33" i="13"/>
  <c r="C28" i="10"/>
  <c r="D24" i="10" s="1"/>
  <c r="E33" i="13"/>
  <c r="D35" i="13" s="1"/>
  <c r="G631" i="1"/>
  <c r="J631" i="1" s="1"/>
  <c r="J646" i="1"/>
  <c r="G193" i="1"/>
  <c r="G626" i="1"/>
  <c r="J626" i="1" s="1"/>
  <c r="J52" i="1"/>
  <c r="H621" i="1" s="1"/>
  <c r="J621" i="1" s="1"/>
  <c r="C38" i="10"/>
  <c r="D33" i="13" l="1"/>
  <c r="D36" i="13" s="1"/>
  <c r="H474" i="1"/>
  <c r="H476" i="1" s="1"/>
  <c r="H624" i="1" s="1"/>
  <c r="J624" i="1" s="1"/>
  <c r="H633" i="1"/>
  <c r="J633" i="1" s="1"/>
  <c r="G672" i="1"/>
  <c r="C5" i="10" s="1"/>
  <c r="G628" i="1"/>
  <c r="G468" i="1"/>
  <c r="C104" i="2"/>
  <c r="G632" i="1"/>
  <c r="F472" i="1"/>
  <c r="I660" i="1"/>
  <c r="I664" i="1" s="1"/>
  <c r="I672" i="1" s="1"/>
  <c r="C7" i="10" s="1"/>
  <c r="H667" i="1"/>
  <c r="D20" i="10"/>
  <c r="D23" i="10"/>
  <c r="D10" i="10"/>
  <c r="C30" i="10"/>
  <c r="D25" i="10"/>
  <c r="D26" i="10"/>
  <c r="D16" i="10"/>
  <c r="D27" i="10"/>
  <c r="D15" i="10"/>
  <c r="D19" i="10"/>
  <c r="D13" i="10"/>
  <c r="D11" i="10"/>
  <c r="D21" i="10"/>
  <c r="D22" i="10"/>
  <c r="D18" i="10"/>
  <c r="D17" i="10"/>
  <c r="D12" i="10"/>
  <c r="F672" i="1"/>
  <c r="C4" i="10" s="1"/>
  <c r="F667" i="1"/>
  <c r="C41" i="10"/>
  <c r="D38" i="10" s="1"/>
  <c r="G470" i="1" l="1"/>
  <c r="G476" i="1" s="1"/>
  <c r="H623" i="1" s="1"/>
  <c r="J623" i="1" s="1"/>
  <c r="H628" i="1"/>
  <c r="J628" i="1" s="1"/>
  <c r="H632" i="1"/>
  <c r="J632" i="1" s="1"/>
  <c r="F474" i="1"/>
  <c r="F476" i="1" s="1"/>
  <c r="H622" i="1" s="1"/>
  <c r="I667" i="1"/>
  <c r="D28" i="10"/>
  <c r="D37" i="10"/>
  <c r="D36" i="10"/>
  <c r="D35" i="10"/>
  <c r="D40" i="10"/>
  <c r="D39" i="10"/>
  <c r="D41" i="10" l="1"/>
  <c r="C49" i="2" l="1"/>
  <c r="C50" i="2"/>
  <c r="C51" i="2" s="1"/>
  <c r="F51" i="1"/>
  <c r="F52" i="1" s="1"/>
  <c r="H617" i="1" s="1"/>
  <c r="J617" i="1" s="1"/>
  <c r="G622" i="1" l="1"/>
  <c r="H656" i="1" l="1"/>
  <c r="J62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<sst xmlns="http://schemas.openxmlformats.org/spreadsheetml/2006/main" count="3957" uniqueCount="914">
  <si>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</si>
  <si>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</si>
  <si>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</si>
  <si>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</si>
  <si>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</si>
  <si>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</si>
  <si>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</si>
  <si>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</si>
  <si>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</si>
  <si>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</si>
  <si>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</si>
  <si>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</si>
  <si>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</si>
  <si>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</si>
  <si>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</si>
  <si>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</si>
  <si>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</si>
  <si>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</si>
  <si>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</si>
  <si>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</si>
  <si>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</si>
  <si>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</si>
  <si>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</si>
  <si>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</si>
  <si>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</si>
  <si>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</si>
  <si>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</si>
  <si>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</si>
  <si>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</si>
  <si>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</si>
  <si>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</si>
  <si>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</si>
  <si>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</si>
  <si>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</si>
  <si>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</si>
  <si>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</si>
  <si>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</si>
  <si>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</si>
  <si>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</si>
  <si>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</si>
  <si>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</si>
  <si>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</si>
  <si>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</si>
  <si>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</si>
  <si>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</si>
  <si>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</si>
  <si>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</si>
  <si>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</si>
  <si>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</si>
  <si>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</si>
  <si>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</si>
  <si>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</si>
  <si>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</si>
  <si>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</si>
  <si>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</si>
  <si>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</si>
  <si>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</si>
  <si>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</si>
  <si>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</si>
  <si>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</si>
  <si>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</si>
  <si>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</si>
  <si>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</si>
  <si>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</si>
  <si>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</si>
  <si>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</si>
  <si>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</si>
  <si>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</si>
  <si>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</si>
  <si>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</si>
  <si>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</si>
  <si>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</si>
  <si>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</si>
  <si>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</si>
  <si>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</si>
  <si>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</si>
  <si>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</si>
  <si>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</si>
  <si>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</si>
  <si>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</si>
  <si>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</si>
  <si>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</si>
  <si>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</si>
  <si>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</si>
  <si>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</si>
  <si>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</si>
  <si>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</si>
  <si>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</si>
  <si>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</si>
  <si>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</si>
  <si>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</si>
  <si>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</si>
  <si>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</si>
  <si>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</si>
  <si>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</si>
  <si>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</si>
  <si>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</si>
  <si>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</si>
  <si>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</si>
  <si>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</si>
  <si>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</si>
  <si>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</si>
  <si>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</si>
  <si>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</si>
  <si>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</si>
  <si>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</si>
  <si>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</si>
  <si>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</si>
  <si>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</si>
  <si>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</si>
  <si>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</si>
  <si>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</si>
  <si>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</si>
  <si>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</si>
  <si>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</si>
  <si>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</si>
  <si>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</si>
  <si>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</si>
  <si>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</si>
  <si>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</si>
  <si>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</si>
  <si>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</si>
  <si>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</si>
  <si>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</si>
  <si>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</si>
  <si>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</si>
  <si>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</si>
  <si>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</si>
  <si>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</si>
  <si>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</si>
  <si>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</si>
  <si>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</si>
  <si>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</si>
  <si>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</si>
  <si>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</si>
  <si>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</si>
  <si>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</si>
  <si>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</si>
  <si>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</si>
  <si>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</si>
  <si>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</si>
  <si>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</si>
  <si>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</si>
  <si>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</si>
  <si>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</si>
  <si>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</si>
  <si>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</si>
  <si>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</si>
  <si>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</si>
  <si>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</si>
  <si>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</si>
  <si>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</si>
  <si>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</si>
  <si>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</si>
  <si>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</si>
  <si>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</si>
  <si>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</si>
  <si>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</si>
  <si>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</si>
  <si>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</si>
  <si>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</si>
  <si>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</si>
  <si>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</si>
  <si>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</si>
  <si>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</si>
  <si>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</si>
  <si>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</si>
  <si>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</si>
  <si>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</si>
  <si>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</si>
  <si>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</si>
  <si>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</si>
  <si>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</si>
  <si>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</si>
  <si>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</si>
  <si>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</si>
  <si>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</si>
  <si>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</si>
  <si>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</si>
  <si>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</si>
  <si>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</si>
  <si>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</si>
  <si>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</si>
  <si>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</si>
  <si>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</si>
  <si>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</si>
  <si>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</si>
  <si>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</si>
  <si>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</si>
  <si>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</si>
  <si>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</si>
  <si>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</si>
  <si>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</si>
  <si>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</si>
  <si>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</si>
  <si>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</si>
  <si>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</si>
  <si>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</si>
  <si>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</si>
  <si>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</si>
  <si>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</si>
  <si>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</si>
  <si>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</si>
  <si>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</si>
  <si>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</si>
  <si>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</si>
  <si>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</si>
  <si>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</si>
  <si>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</si>
  <si>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</si>
  <si>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</si>
  <si>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</si>
  <si>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</si>
  <si>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</si>
  <si>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</si>
  <si>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</si>
  <si>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</si>
  <si>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</si>
  <si>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</si>
  <si>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</si>
  <si>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</si>
  <si>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</si>
  <si>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</si>
  <si>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</si>
  <si>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</si>
  <si>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</si>
  <si>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</si>
  <si>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</si>
  <si>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</si>
  <si>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</si>
  <si>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</si>
  <si>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</si>
  <si>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</si>
  <si>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</si>
  <si>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</si>
  <si>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</si>
  <si>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</si>
  <si>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</si>
  <si>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</si>
  <si>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</si>
  <si>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</si>
  <si>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</si>
  <si>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</si>
  <si>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</si>
  <si>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</si>
  <si>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</si>
  <si>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</si>
  <si>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</si>
  <si>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</si>
  <si>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</si>
  <si>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</si>
  <si>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</si>
  <si>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</si>
  <si>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</si>
  <si>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</si>
  <si>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</si>
  <si>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</si>
  <si>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</si>
  <si>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</si>
  <si>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</si>
  <si>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</si>
  <si>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</si>
  <si>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</si>
  <si>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</si>
  <si>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</si>
  <si>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</si>
  <si>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</si>
  <si>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</si>
  <si>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</si>
  <si>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</si>
  <si>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</si>
  <si>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</si>
  <si>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</si>
  <si>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</si>
  <si>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</si>
  <si>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</si>
  <si>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</si>
  <si>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</si>
  <si>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</si>
  <si>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</si>
  <si>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</si>
  <si>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</si>
  <si>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</si>
  <si>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</si>
  <si>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</si>
  <si>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</si>
  <si>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</si>
  <si>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</si>
  <si>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</si>
  <si>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</si>
  <si>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</si>
  <si>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</si>
  <si>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</si>
  <si>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</si>
  <si>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</si>
  <si>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</si>
  <si>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</si>
  <si>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</si>
  <si>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</si>
  <si>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</si>
  <si>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</si>
  <si>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</si>
  <si>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</si>
  <si>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</si>
  <si>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</si>
  <si>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</si>
  <si>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</si>
  <si>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</si>
  <si>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</si>
  <si>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</si>
  <si>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</si>
  <si>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</si>
  <si>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</si>
  <si>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</si>
  <si>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</si>
  <si>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</si>
  <si>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</si>
  <si>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</si>
  <si>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</si>
  <si>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</si>
  <si>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</si>
  <si>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</si>
  <si>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</si>
  <si>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</si>
  <si>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</si>
  <si>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</si>
  <si>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</si>
  <si>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</si>
  <si>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</si>
  <si>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</si>
  <si>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</si>
  <si>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</si>
  <si>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</si>
  <si>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</si>
  <si>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</si>
  <si>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</si>
  <si>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</si>
  <si>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</si>
  <si>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</si>
  <si>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</si>
  <si>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</si>
  <si>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</si>
  <si>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</si>
  <si>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</si>
  <si>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</si>
  <si>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</si>
  <si>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</si>
  <si>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</si>
  <si>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</si>
  <si>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</si>
  <si>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</si>
  <si>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</si>
  <si>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</si>
  <si>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</si>
  <si>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</si>
  <si>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</si>
  <si>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</si>
  <si>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</si>
  <si>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</si>
  <si>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</si>
  <si>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</si>
  <si>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</si>
  <si>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</si>
  <si>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</si>
  <si>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</si>
  <si>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</si>
  <si>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</si>
  <si>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</si>
  <si>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</si>
  <si>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</si>
  <si>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</si>
  <si>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</si>
  <si>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</si>
  <si>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</si>
  <si>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</si>
  <si>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</si>
  <si>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</si>
  <si>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</si>
  <si>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</si>
  <si>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</si>
  <si>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</si>
  <si>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</si>
  <si>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</si>
  <si>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</si>
  <si>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</si>
  <si>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</si>
  <si>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</si>
  <si>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</si>
  <si>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</si>
  <si>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</si>
  <si>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</si>
  <si>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</si>
  <si>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</si>
  <si>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</si>
  <si>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</si>
  <si>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</si>
  <si>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</si>
  <si>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</si>
  <si>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</si>
  <si>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</si>
  <si>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</si>
  <si>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</si>
  <si>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</si>
  <si>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</si>
  <si>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</si>
  <si>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</si>
  <si>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</si>
  <si>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</si>
  <si>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</si>
  <si>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</si>
  <si>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</si>
  <si>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</si>
  <si>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</si>
  <si>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</si>
  <si>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</si>
  <si>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</si>
  <si>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</si>
  <si>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</si>
  <si>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</si>
  <si>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</si>
  <si>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</si>
  <si>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</si>
  <si>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</si>
  <si>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</si>
  <si>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</si>
  <si>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</si>
  <si>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</si>
  <si>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</si>
  <si>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</si>
  <si>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</si>
  <si>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</si>
  <si>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</si>
  <si>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</si>
  <si>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</si>
  <si>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</si>
  <si>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</si>
  <si>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</si>
  <si>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</si>
  <si>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</si>
  <si>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</si>
  <si>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</si>
  <si>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</si>
  <si>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</si>
  <si>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</si>
  <si>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</si>
  <si>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</si>
  <si>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</si>
  <si>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</si>
  <si>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</si>
  <si>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</si>
  <si>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</si>
  <si>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</si>
  <si>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</si>
  <si>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</si>
  <si>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</si>
  <si>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</si>
  <si>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</si>
  <si>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</si>
  <si>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</si>
  <si>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</si>
  <si>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</si>
  <si>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</si>
  <si>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</si>
  <si>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</si>
  <si>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</si>
  <si>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</si>
  <si>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</si>
  <si>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</si>
  <si>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</si>
  <si>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</si>
  <si>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</si>
  <si>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</si>
  <si>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</si>
  <si>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</si>
  <si>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</si>
  <si>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</si>
  <si>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</si>
  <si>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</si>
  <si>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</si>
  <si>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</si>
  <si>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</si>
  <si>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</si>
  <si>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</si>
  <si>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</si>
  <si>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</si>
  <si>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</si>
  <si>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</si>
  <si>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</si>
  <si>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</si>
  <si>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</si>
  <si>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</si>
  <si>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</si>
  <si>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</si>
  <si>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</si>
  <si>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</si>
  <si>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</si>
  <si>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</si>
  <si>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</si>
  <si>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</si>
  <si>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</si>
  <si>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</si>
  <si>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</si>
  <si>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</si>
  <si>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</si>
  <si>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</si>
  <si>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</si>
  <si>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</si>
  <si>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</si>
  <si>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</si>
  <si>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</si>
  <si>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</si>
  <si>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</si>
  <si>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</si>
  <si>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</si>
  <si>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</si>
  <si>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</si>
  <si>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</si>
  <si>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</si>
  <si>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</si>
  <si>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</si>
  <si>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</si>
  <si>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</si>
  <si>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</si>
  <si>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</si>
  <si>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</si>
  <si>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</si>
  <si>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</si>
  <si>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</si>
  <si>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</si>
  <si>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</si>
  <si>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</si>
  <si>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</si>
  <si>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</si>
  <si>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</si>
  <si>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</si>
  <si>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</si>
  <si>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</si>
  <si>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</si>
  <si>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</si>
  <si>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</si>
  <si>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</si>
  <si>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</si>
  <si>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</si>
  <si>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</si>
  <si>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</si>
  <si>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</si>
  <si>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</si>
  <si>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</si>
  <si>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</si>
  <si>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</si>
  <si>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</si>
  <si>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</si>
  <si>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</si>
  <si>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</si>
  <si>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</si>
  <si>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</si>
  <si>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</si>
  <si>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</si>
  <si>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</si>
  <si>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</si>
  <si>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</si>
  <si>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</si>
  <si>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</si>
  <si>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</si>
  <si>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</si>
  <si>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</si>
  <si>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</si>
  <si>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</si>
  <si>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</si>
  <si>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</si>
  <si>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</si>
  <si>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</si>
  <si>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</si>
  <si>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</si>
  <si>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</si>
  <si>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</si>
  <si>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</si>
  <si>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</si>
  <si>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</si>
  <si>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</si>
  <si>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</si>
  <si>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</si>
  <si>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</si>
  <si>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</si>
  <si>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</si>
  <si>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</si>
  <si>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</si>
  <si>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</si>
  <si>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</si>
  <si>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</si>
  <si>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</si>
  <si>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</si>
  <si>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</si>
  <si>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</si>
  <si>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</si>
  <si>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</si>
  <si>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</si>
  <si>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</si>
  <si>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</si>
  <si>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</si>
  <si>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</si>
  <si>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</si>
  <si>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</si>
  <si>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</si>
  <si>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</si>
  <si>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</si>
  <si>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</si>
  <si>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</si>
  <si>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</si>
  <si>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</si>
  <si>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</si>
  <si>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</si>
  <si>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</si>
  <si>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</si>
  <si>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</si>
  <si>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</si>
  <si>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</si>
  <si>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</si>
  <si>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</si>
  <si>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</si>
  <si>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</si>
  <si>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</si>
  <si>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</si>
  <si>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</si>
  <si>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</si>
  <si>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</si>
  <si>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</si>
  <si>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</si>
  <si>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</si>
  <si>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</si>
  <si>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</si>
  <si>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</si>
  <si>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</si>
  <si>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</si>
  <si>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</si>
  <si>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</si>
  <si>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</si>
  <si>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</si>
  <si>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</si>
  <si>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</si>
  <si>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</si>
  <si>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</si>
  <si>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</si>
  <si>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</si>
  <si>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</si>
  <si>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</si>
  <si>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</si>
  <si>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</si>
  <si>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</si>
  <si>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</si>
  <si>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</si>
  <si>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</si>
  <si>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</si>
  <si>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</si>
  <si>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</si>
  <si>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</si>
  <si>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</si>
  <si>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</si>
  <si>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</si>
  <si>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</si>
  <si>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</si>
  <si>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</si>
  <si>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</si>
  <si>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</si>
  <si>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</si>
  <si>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</si>
  <si>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</si>
  <si>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</si>
  <si>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</si>
  <si>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</si>
  <si>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</si>
  <si>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</si>
  <si>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</si>
  <si>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</si>
  <si>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</si>
  <si>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</si>
  <si>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</si>
  <si>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</si>
  <si>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</si>
  <si>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</si>
  <si>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</si>
  <si>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</si>
  <si>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</si>
  <si>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</si>
  <si>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</si>
  <si>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</si>
  <si>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</si>
  <si>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</si>
  <si>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</si>
  <si>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</si>
  <si>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</si>
  <si>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</si>
  <si>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</si>
  <si>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</si>
  <si>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</si>
  <si>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</si>
  <si>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</si>
  <si>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</si>
  <si>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</si>
  <si>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</si>
  <si>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</si>
  <si>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</si>
  <si>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</si>
  <si>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</si>
  <si>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</si>
  <si>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</si>
  <si>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</si>
  <si>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</si>
  <si>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</si>
  <si>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</si>
  <si>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</si>
  <si>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</si>
  <si>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</si>
  <si>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</si>
  <si>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</si>
  <si>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</si>
  <si>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</si>
  <si>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</si>
  <si>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</si>
  <si>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</si>
  <si>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</si>
  <si>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</si>
  <si>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</si>
  <si>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</si>
  <si>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</si>
  <si>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</si>
  <si>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</si>
  <si>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</si>
  <si>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</si>
  <si>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</si>
  <si>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</si>
  <si>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</si>
  <si>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</si>
  <si>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</si>
  <si>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</si>
  <si>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</si>
  <si>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</si>
  <si>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</si>
  <si>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</si>
  <si>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</si>
  <si>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</si>
  <si>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</si>
  <si>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</si>
  <si>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</si>
  <si>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</si>
  <si>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</si>
  <si>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</si>
  <si>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</si>
  <si>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</si>
  <si>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</si>
  <si>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</si>
  <si>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</si>
  <si>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</si>
  <si>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</si>
  <si>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</si>
  <si>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</si>
  <si>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</si>
  <si>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</si>
  <si>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</si>
  <si>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</si>
  <si>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</si>
  <si>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</si>
  <si>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</si>
  <si>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</si>
  <si>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</si>
  <si>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</si>
  <si>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</si>
  <si>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</si>
  <si>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</si>
  <si>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</si>
  <si>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</si>
  <si>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</si>
  <si>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</si>
  <si>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</si>
  <si>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</si>
  <si>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</si>
  <si>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</si>
  <si>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</si>
  <si>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</si>
  <si>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</si>
  <si>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</si>
  <si>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</si>
  <si>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</si>
  <si>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</si>
  <si>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</si>
  <si>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</si>
  <si>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</si>
  <si>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</si>
  <si>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</si>
  <si>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</si>
  <si>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</si>
  <si>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</si>
  <si>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</si>
  <si>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</si>
  <si>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</si>
  <si>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</si>
  <si>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</si>
  <si>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</si>
  <si>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</si>
  <si>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</si>
  <si>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</si>
  <si>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</si>
  <si>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</si>
  <si>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</si>
  <si>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</si>
  <si>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</si>
  <si>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</si>
  <si>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</si>
  <si>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</si>
  <si>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</si>
  <si>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</si>
  <si>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</si>
  <si>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</si>
  <si>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</si>
  <si>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</si>
  <si>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</si>
  <si>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</si>
  <si>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</si>
  <si>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</si>
  <si>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</si>
  <si>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</si>
  <si>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</si>
  <si>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</si>
  <si>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</si>
  <si>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</si>
  <si>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</si>
  <si>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</si>
  <si>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</si>
  <si>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</si>
  <si>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</si>
  <si>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</si>
  <si>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</si>
  <si>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</si>
  <si>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</si>
  <si>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</si>
  <si>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</si>
  <si>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</si>
  <si>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</si>
  <si>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</si>
  <si>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</si>
  <si>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</si>
  <si>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</si>
  <si>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</si>
  <si>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</si>
  <si>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</si>
  <si>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</si>
  <si>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</si>
  <si>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</si>
  <si>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</si>
  <si>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</si>
  <si>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</si>
  <si>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</si>
  <si>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</si>
  <si>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</si>
  <si>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</si>
  <si>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</si>
  <si>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</si>
  <si>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</si>
  <si>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</si>
  <si>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</si>
  <si>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</si>
  <si>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</si>
  <si>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</si>
  <si>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</si>
  <si>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</si>
  <si>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</si>
  <si>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</si>
  <si>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</si>
  <si>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</si>
  <si>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</si>
  <si>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</si>
  <si>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</si>
  <si>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</si>
  <si>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</si>
  <si>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</si>
  <si>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</si>
  <si>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</si>
  <si>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</si>
  <si>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</si>
  <si>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</si>
  <si>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</si>
  <si>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</si>
  <si>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</si>
  <si>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</si>
  <si>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</si>
  <si>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</si>
  <si>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</si>
  <si>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</si>
  <si>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</si>
  <si>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</si>
  <si>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</si>
  <si>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</si>
  <si>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</si>
  <si>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</si>
  <si>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</si>
  <si>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</si>
  <si>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</si>
  <si>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</si>
  <si>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</si>
  <si>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</si>
  <si>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</si>
  <si>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</si>
  <si>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</si>
  <si>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</si>
  <si>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</si>
  <si>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</si>
  <si>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</si>
  <si>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</si>
  <si>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</si>
  <si>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</si>
  <si>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</si>
  <si>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Warren</t>
  </si>
  <si>
    <t>.</t>
  </si>
  <si>
    <t>General Fund Additional Expenses from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</si>
</sst>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549</v>
      </c>
      <c r="C2" s="21">
        <v>549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133456.31+250</f>
        <v>133706.31</v>
      </c>
      <c r="G9" s="18"/>
      <c r="H9" s="18">
        <v>26004.1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24948.940000000002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/>
      <c r="H12" s="18">
        <v>14488.71</v>
      </c>
      <c r="I12" s="18"/>
      <c r="J12" s="67">
        <f>SUM(I441)</f>
        <v>62164.44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31849.33</v>
      </c>
      <c r="G13" s="18">
        <v>757.36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3694.6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4202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173452.24000000002</v>
      </c>
      <c r="G19" s="41">
        <f>SUM(G9:G18)</f>
        <v>757.36</v>
      </c>
      <c r="H19" s="41">
        <f>SUM(H9:H18)</f>
        <v>40492.81</v>
      </c>
      <c r="I19" s="41">
        <f>SUM(I9:I18)</f>
        <v>0</v>
      </c>
      <c r="J19" s="41">
        <f>SUM(J9:J18)</f>
        <v>87113.38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76165.06</v>
      </c>
      <c r="G22" s="18">
        <v>488.05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7945.37+18931.3+168.54</f>
        <v>27045.21</v>
      </c>
      <c r="G24" s="18"/>
      <c r="H24" s="18">
        <v>5667.06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 t="s">
        <v>912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269.31</v>
      </c>
      <c r="H30" s="18">
        <v>34825.75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0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103210.26999999999</v>
      </c>
      <c r="G32" s="41">
        <f>SUM(G22:G31)</f>
        <v>757.36</v>
      </c>
      <c r="H32" s="41">
        <f>SUM(H22:H31)</f>
        <v>40492.81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4202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/>
      <c r="I48" s="18"/>
      <c r="J48" s="13">
        <f>SUM(I459)</f>
        <v>87113.38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17240.810000000001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23799.16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70241.97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87113.38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173452.24</v>
      </c>
      <c r="G52" s="41">
        <f>G51+G32</f>
        <v>757.36</v>
      </c>
      <c r="H52" s="41">
        <f>H51+H32</f>
        <v>40492.81</v>
      </c>
      <c r="I52" s="41">
        <f>I51+I32</f>
        <v>0</v>
      </c>
      <c r="J52" s="41">
        <f>J51+J32</f>
        <v>87113.38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1543406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1543406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200</v>
      </c>
      <c r="G63" s="24" t="s">
        <v>289</v>
      </c>
      <c r="H63" s="18">
        <f>10124.25+10776.53</f>
        <v>20900.78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200</v>
      </c>
      <c r="G79" s="45" t="s">
        <v>289</v>
      </c>
      <c r="H79" s="41">
        <f>SUM(H63:H78)</f>
        <v>20900.78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122.45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9107.75+1029.83</f>
        <v>10137.58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1595+5417.67</f>
        <v>7012.67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4138.38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2065.67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6426.5</v>
      </c>
      <c r="G111" s="41">
        <f>SUM(G96:G110)</f>
        <v>10137.58</v>
      </c>
      <c r="H111" s="41">
        <f>SUM(H96:H110)</f>
        <v>7012.67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1550032.5</v>
      </c>
      <c r="G112" s="41">
        <f>G60+G111</f>
        <v>10137.58</v>
      </c>
      <c r="H112" s="41">
        <f>H60+H79+H94+H111</f>
        <v>27913.449999999997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661593.1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176546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838139.1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21653.98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3340.16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418.9</f>
        <v>418.9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24994.14</v>
      </c>
      <c r="G136" s="41">
        <f>SUM(G123:G135)</f>
        <v>418.9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863133.24</v>
      </c>
      <c r="G140" s="41">
        <f>G121+SUM(G136:G137)</f>
        <v>418.9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6190.48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49.99+44535.03</f>
        <v>44585.02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38200+2296.7+9732.58+9634.92+2541+113989.74</f>
        <v>176394.94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3190.11+18109.34</f>
        <v>21299.45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38801.74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38801.74</v>
      </c>
      <c r="G162" s="41">
        <f>SUM(G150:G161)</f>
        <v>21299.45</v>
      </c>
      <c r="H162" s="41">
        <f>SUM(H150:H161)</f>
        <v>227170.44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9673.27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48475.009999999995</v>
      </c>
      <c r="G169" s="41">
        <f>G147+G162+SUM(G163:G168)</f>
        <v>21299.45</v>
      </c>
      <c r="H169" s="41">
        <f>H147+H162+SUM(H163:H168)</f>
        <v>227170.44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23252.97</v>
      </c>
      <c r="H179" s="18"/>
      <c r="I179" s="18"/>
      <c r="J179" s="18">
        <v>34000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23252.97</v>
      </c>
      <c r="H183" s="41">
        <f>SUM(H179:H182)</f>
        <v>0</v>
      </c>
      <c r="I183" s="41">
        <f>SUM(I179:I182)</f>
        <v>0</v>
      </c>
      <c r="J183" s="41">
        <f>SUM(J179:J182)</f>
        <v>34000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23252.97</v>
      </c>
      <c r="H192" s="41">
        <f>+H183+SUM(H188:H191)</f>
        <v>0</v>
      </c>
      <c r="I192" s="41">
        <f>I177+I183+SUM(I188:I191)</f>
        <v>0</v>
      </c>
      <c r="J192" s="41">
        <f>J183</f>
        <v>34000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2461640.75</v>
      </c>
      <c r="G193" s="47">
        <f>G112+G140+G169+G192</f>
        <v>55108.9</v>
      </c>
      <c r="H193" s="47">
        <f>H112+H140+H169+H192</f>
        <v>255083.89</v>
      </c>
      <c r="I193" s="47">
        <f>I112+I140+I169+I192</f>
        <v>0</v>
      </c>
      <c r="J193" s="47">
        <f>J112+J140+J192</f>
        <v>34000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375795.98</v>
      </c>
      <c r="G197" s="18">
        <f>180831.62+1777.5+384.58+0.15</f>
        <v>182993.84999999998</v>
      </c>
      <c r="H197" s="18">
        <f>41945.07+445.7</f>
        <v>42390.77</v>
      </c>
      <c r="I197" s="18">
        <v>20280.04</v>
      </c>
      <c r="J197" s="18">
        <f>7957.06</f>
        <v>7957.06</v>
      </c>
      <c r="K197" s="18">
        <v>585.9</v>
      </c>
      <c r="L197" s="19">
        <f>SUM(F197:K197)</f>
        <v>630003.60000000009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790+555+83721.88</f>
        <v>85066.880000000005</v>
      </c>
      <c r="G198" s="18">
        <f>102.88+45731.74</f>
        <v>45834.619999999995</v>
      </c>
      <c r="H198" s="18">
        <v>21925.75</v>
      </c>
      <c r="I198" s="18">
        <v>345.9</v>
      </c>
      <c r="J198" s="18"/>
      <c r="K198" s="18"/>
      <c r="L198" s="19">
        <f>SUM(F198:K198)</f>
        <v>153173.15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4100</v>
      </c>
      <c r="G200" s="18">
        <v>795.06</v>
      </c>
      <c r="H200" s="18">
        <v>1170.79</v>
      </c>
      <c r="I200" s="18">
        <v>1412.34</v>
      </c>
      <c r="J200" s="18"/>
      <c r="K200" s="18"/>
      <c r="L200" s="19">
        <f>SUM(F200:K200)</f>
        <v>7478.19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29093.54</v>
      </c>
      <c r="G202" s="18">
        <v>2290.54</v>
      </c>
      <c r="H202" s="18">
        <v>40203.39</v>
      </c>
      <c r="I202" s="18">
        <v>3003.95</v>
      </c>
      <c r="J202" s="18"/>
      <c r="K202" s="18">
        <v>4254.8</v>
      </c>
      <c r="L202" s="19">
        <f t="shared" ref="L202:L208" si="0">SUM(F202:K202)</f>
        <v>78846.22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10498.96</v>
      </c>
      <c r="G203" s="18">
        <f>12998.23</f>
        <v>12998.23</v>
      </c>
      <c r="H203" s="18">
        <v>12990.84</v>
      </c>
      <c r="I203" s="18">
        <v>4295.18</v>
      </c>
      <c r="J203" s="18"/>
      <c r="K203" s="18">
        <v>1709.06</v>
      </c>
      <c r="L203" s="19">
        <f t="shared" si="0"/>
        <v>42492.27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1171.2</v>
      </c>
      <c r="G204" s="18">
        <v>89.51</v>
      </c>
      <c r="H204" s="18">
        <f>50547.36+2579.38</f>
        <v>53126.74</v>
      </c>
      <c r="I204" s="18">
        <v>227.12</v>
      </c>
      <c r="J204" s="18"/>
      <c r="K204" s="18">
        <v>1381.54</v>
      </c>
      <c r="L204" s="19">
        <f t="shared" si="0"/>
        <v>55996.11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81872.88</v>
      </c>
      <c r="G205" s="18">
        <v>30136.33</v>
      </c>
      <c r="H205" s="18">
        <v>2896.68</v>
      </c>
      <c r="I205" s="18">
        <v>1254.02</v>
      </c>
      <c r="J205" s="18">
        <v>239.98</v>
      </c>
      <c r="K205" s="18">
        <v>474.5</v>
      </c>
      <c r="L205" s="19">
        <f t="shared" si="0"/>
        <v>116874.39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27891.42</v>
      </c>
      <c r="G207" s="18">
        <v>12033.86</v>
      </c>
      <c r="H207" s="18">
        <f>1136.85+19673.31+1334.98</f>
        <v>22145.14</v>
      </c>
      <c r="I207" s="18">
        <v>37333.47</v>
      </c>
      <c r="J207" s="18">
        <v>27793.68</v>
      </c>
      <c r="K207" s="18"/>
      <c r="L207" s="19">
        <f t="shared" si="0"/>
        <v>127197.57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82413.490000000005</v>
      </c>
      <c r="I208" s="18"/>
      <c r="J208" s="18"/>
      <c r="K208" s="18"/>
      <c r="L208" s="19">
        <f t="shared" si="0"/>
        <v>82413.490000000005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2361.8000000000002</v>
      </c>
      <c r="I209" s="18">
        <v>376.83</v>
      </c>
      <c r="J209" s="18"/>
      <c r="K209" s="18"/>
      <c r="L209" s="19">
        <f>SUM(F209:K209)</f>
        <v>2738.63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615490.86</v>
      </c>
      <c r="G211" s="41">
        <f t="shared" si="1"/>
        <v>287172</v>
      </c>
      <c r="H211" s="41">
        <f t="shared" si="1"/>
        <v>281625.38999999996</v>
      </c>
      <c r="I211" s="41">
        <f t="shared" si="1"/>
        <v>68528.850000000006</v>
      </c>
      <c r="J211" s="41">
        <f t="shared" si="1"/>
        <v>35990.720000000001</v>
      </c>
      <c r="K211" s="41">
        <f t="shared" si="1"/>
        <v>8405.7999999999993</v>
      </c>
      <c r="L211" s="41">
        <f t="shared" si="1"/>
        <v>1297213.6199999999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163965.54999999999</v>
      </c>
      <c r="I215" s="18"/>
      <c r="J215" s="18"/>
      <c r="K215" s="18"/>
      <c r="L215" s="19">
        <f>SUM(F215:K215)</f>
        <v>163965.54999999999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1796.99</v>
      </c>
      <c r="I216" s="18"/>
      <c r="J216" s="18"/>
      <c r="K216" s="18"/>
      <c r="L216" s="19">
        <f>SUM(F216:K216)</f>
        <v>1796.99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325.3</v>
      </c>
      <c r="G222" s="18">
        <v>24.94</v>
      </c>
      <c r="H222" s="18">
        <f>13707.76+704.94</f>
        <v>14412.7</v>
      </c>
      <c r="I222" s="18">
        <v>21.3</v>
      </c>
      <c r="J222" s="18"/>
      <c r="K222" s="18">
        <v>374.65</v>
      </c>
      <c r="L222" s="19">
        <f t="shared" si="2"/>
        <v>15158.89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39042.400000000001</v>
      </c>
      <c r="I226" s="18"/>
      <c r="J226" s="18"/>
      <c r="K226" s="18"/>
      <c r="L226" s="19">
        <f t="shared" si="2"/>
        <v>39042.400000000001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325.3</v>
      </c>
      <c r="G229" s="41">
        <f>SUM(G215:G228)</f>
        <v>24.94</v>
      </c>
      <c r="H229" s="41">
        <f>SUM(H215:H228)</f>
        <v>219217.63999999998</v>
      </c>
      <c r="I229" s="41">
        <f>SUM(I215:I228)</f>
        <v>21.3</v>
      </c>
      <c r="J229" s="41">
        <f>SUM(J215:J228)</f>
        <v>0</v>
      </c>
      <c r="K229" s="41">
        <f t="shared" si="3"/>
        <v>374.65</v>
      </c>
      <c r="L229" s="41">
        <f t="shared" si="3"/>
        <v>219963.83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399960.12</v>
      </c>
      <c r="I233" s="18"/>
      <c r="J233" s="18"/>
      <c r="K233" s="18"/>
      <c r="L233" s="19">
        <f>SUM(F233:K233)</f>
        <v>399960.12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91078.62</v>
      </c>
      <c r="I234" s="18"/>
      <c r="J234" s="18"/>
      <c r="K234" s="18"/>
      <c r="L234" s="19">
        <f>SUM(F234:K234)</f>
        <v>91078.62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39034.6</v>
      </c>
      <c r="I235" s="18"/>
      <c r="J235" s="18"/>
      <c r="K235" s="18"/>
      <c r="L235" s="19">
        <f>SUM(F235:K235)</f>
        <v>39034.6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933.3</v>
      </c>
      <c r="I236" s="18"/>
      <c r="J236" s="18"/>
      <c r="K236" s="18"/>
      <c r="L236" s="19">
        <f>SUM(F236:K236)</f>
        <v>933.3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8868.42</v>
      </c>
      <c r="I238" s="18"/>
      <c r="J238" s="18"/>
      <c r="K238" s="18"/>
      <c r="L238" s="19">
        <f t="shared" ref="L238:L244" si="4">SUM(F238:K238)</f>
        <v>8868.42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558.5</v>
      </c>
      <c r="G240" s="18">
        <v>42.77</v>
      </c>
      <c r="H240" s="18">
        <f>21418.38+1121.53</f>
        <v>22539.91</v>
      </c>
      <c r="I240" s="18">
        <v>33.29</v>
      </c>
      <c r="J240" s="18"/>
      <c r="K240" s="18">
        <v>585.4</v>
      </c>
      <c r="L240" s="19">
        <f t="shared" si="4"/>
        <v>23759.870000000003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7847.02</v>
      </c>
      <c r="I244" s="18"/>
      <c r="J244" s="18"/>
      <c r="K244" s="18"/>
      <c r="L244" s="19">
        <f t="shared" si="4"/>
        <v>7847.02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558.5</v>
      </c>
      <c r="G247" s="41">
        <f t="shared" si="5"/>
        <v>42.77</v>
      </c>
      <c r="H247" s="41">
        <f t="shared" si="5"/>
        <v>570261.99000000011</v>
      </c>
      <c r="I247" s="41">
        <f t="shared" si="5"/>
        <v>33.29</v>
      </c>
      <c r="J247" s="41">
        <f t="shared" si="5"/>
        <v>0</v>
      </c>
      <c r="K247" s="41">
        <f t="shared" si="5"/>
        <v>585.4</v>
      </c>
      <c r="L247" s="41">
        <f t="shared" si="5"/>
        <v>571481.95000000007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164692.91</v>
      </c>
      <c r="I255" s="18"/>
      <c r="J255" s="18"/>
      <c r="K255" s="18"/>
      <c r="L255" s="19">
        <f t="shared" si="6"/>
        <v>164692.91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164692.91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164692.91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616374.66</v>
      </c>
      <c r="G257" s="41">
        <f t="shared" si="8"/>
        <v>287239.71000000002</v>
      </c>
      <c r="H257" s="41">
        <f t="shared" si="8"/>
        <v>1235797.93</v>
      </c>
      <c r="I257" s="41">
        <f t="shared" si="8"/>
        <v>68583.44</v>
      </c>
      <c r="J257" s="41">
        <f t="shared" si="8"/>
        <v>35990.720000000001</v>
      </c>
      <c r="K257" s="41">
        <f t="shared" si="8"/>
        <v>9365.8499999999985</v>
      </c>
      <c r="L257" s="41">
        <f t="shared" si="8"/>
        <v>2253352.31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23252.97</v>
      </c>
      <c r="L263" s="19">
        <f>SUM(F263:K263)</f>
        <v>23252.97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34000</v>
      </c>
      <c r="L266" s="19">
        <f t="shared" si="9"/>
        <v>34000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57252.97</v>
      </c>
      <c r="L270" s="41">
        <f t="shared" si="9"/>
        <v>57252.97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616374.66</v>
      </c>
      <c r="G271" s="42">
        <f t="shared" si="11"/>
        <v>287239.71000000002</v>
      </c>
      <c r="H271" s="42">
        <f t="shared" si="11"/>
        <v>1235797.93</v>
      </c>
      <c r="I271" s="42">
        <f t="shared" si="11"/>
        <v>68583.44</v>
      </c>
      <c r="J271" s="42">
        <f t="shared" si="11"/>
        <v>35990.720000000001</v>
      </c>
      <c r="K271" s="42">
        <f t="shared" si="11"/>
        <v>66618.820000000007</v>
      </c>
      <c r="L271" s="42">
        <f t="shared" si="11"/>
        <v>2310605.2800000003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41028.97</v>
      </c>
      <c r="G276" s="18">
        <v>15657</v>
      </c>
      <c r="H276" s="18">
        <v>700</v>
      </c>
      <c r="I276" s="18">
        <v>4540.9399999999996</v>
      </c>
      <c r="J276" s="18"/>
      <c r="K276" s="18">
        <v>49.99</v>
      </c>
      <c r="L276" s="19">
        <f>SUM(F276:K276)</f>
        <v>61976.9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9404.7800000000007</v>
      </c>
      <c r="G277" s="18">
        <v>719.47</v>
      </c>
      <c r="H277" s="18"/>
      <c r="I277" s="18"/>
      <c r="J277" s="18"/>
      <c r="K277" s="18"/>
      <c r="L277" s="19">
        <f>SUM(F277:K277)</f>
        <v>10124.25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25678.52</v>
      </c>
      <c r="G279" s="18">
        <v>3091.82</v>
      </c>
      <c r="H279" s="18">
        <v>1000</v>
      </c>
      <c r="I279" s="18">
        <v>10198.719999999999</v>
      </c>
      <c r="J279" s="18"/>
      <c r="K279" s="18"/>
      <c r="L279" s="19">
        <f>SUM(F279:K279)</f>
        <v>39969.06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800+1595</f>
        <v>2395</v>
      </c>
      <c r="G281" s="18">
        <v>174.49</v>
      </c>
      <c r="H281" s="18">
        <f>9703.19+50.56</f>
        <v>9753.75</v>
      </c>
      <c r="I281" s="18"/>
      <c r="J281" s="18">
        <v>38200</v>
      </c>
      <c r="K281" s="18"/>
      <c r="L281" s="19">
        <f t="shared" ref="L281:L287" si="12">SUM(F281:K281)</f>
        <v>50523.24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2657.14</v>
      </c>
      <c r="G282" s="18">
        <v>10104.36</v>
      </c>
      <c r="H282" s="18">
        <f>2400+1962.31</f>
        <v>4362.3099999999995</v>
      </c>
      <c r="I282" s="18"/>
      <c r="J282" s="18"/>
      <c r="K282" s="18"/>
      <c r="L282" s="19">
        <f t="shared" si="12"/>
        <v>17123.809999999998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1040</v>
      </c>
      <c r="L283" s="19">
        <f t="shared" si="12"/>
        <v>1040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42743.6</v>
      </c>
      <c r="G284" s="18">
        <v>3713.23</v>
      </c>
      <c r="H284" s="18">
        <v>1775</v>
      </c>
      <c r="I284" s="18">
        <v>715.05</v>
      </c>
      <c r="J284" s="18">
        <v>1250</v>
      </c>
      <c r="K284" s="18"/>
      <c r="L284" s="19">
        <f t="shared" si="12"/>
        <v>50196.880000000005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24129.75</v>
      </c>
      <c r="I287" s="18"/>
      <c r="J287" s="18"/>
      <c r="K287" s="18"/>
      <c r="L287" s="19">
        <f t="shared" si="12"/>
        <v>24129.75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123908.01000000001</v>
      </c>
      <c r="G290" s="42">
        <f t="shared" si="13"/>
        <v>33460.370000000003</v>
      </c>
      <c r="H290" s="42">
        <f t="shared" si="13"/>
        <v>41720.81</v>
      </c>
      <c r="I290" s="42">
        <f t="shared" si="13"/>
        <v>15454.71</v>
      </c>
      <c r="J290" s="42">
        <f t="shared" si="13"/>
        <v>39450</v>
      </c>
      <c r="K290" s="42">
        <f t="shared" si="13"/>
        <v>1089.99</v>
      </c>
      <c r="L290" s="41">
        <f t="shared" si="13"/>
        <v>255083.88999999998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123908.01000000001</v>
      </c>
      <c r="G338" s="41">
        <f t="shared" si="20"/>
        <v>33460.370000000003</v>
      </c>
      <c r="H338" s="41">
        <f t="shared" si="20"/>
        <v>41720.81</v>
      </c>
      <c r="I338" s="41">
        <f t="shared" si="20"/>
        <v>15454.71</v>
      </c>
      <c r="J338" s="41">
        <f t="shared" si="20"/>
        <v>39450</v>
      </c>
      <c r="K338" s="41">
        <f t="shared" si="20"/>
        <v>1089.99</v>
      </c>
      <c r="L338" s="41">
        <f t="shared" si="20"/>
        <v>255083.88999999998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123908.01000000001</v>
      </c>
      <c r="G352" s="41">
        <f>G338</f>
        <v>33460.370000000003</v>
      </c>
      <c r="H352" s="41">
        <f>H338</f>
        <v>41720.81</v>
      </c>
      <c r="I352" s="41">
        <f>I338</f>
        <v>15454.71</v>
      </c>
      <c r="J352" s="41">
        <f>J338</f>
        <v>39450</v>
      </c>
      <c r="K352" s="47">
        <f>K338+K351</f>
        <v>1089.99</v>
      </c>
      <c r="L352" s="41">
        <f>L338+L351</f>
        <v>255083.88999999998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54646.59</v>
      </c>
      <c r="I358" s="18"/>
      <c r="J358" s="18"/>
      <c r="K358" s="18"/>
      <c r="L358" s="13">
        <f>SUM(F358:K358)</f>
        <v>54646.59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54646.59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54646.59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34000</v>
      </c>
      <c r="H396" s="18"/>
      <c r="I396" s="18"/>
      <c r="J396" s="24" t="s">
        <v>289</v>
      </c>
      <c r="K396" s="24" t="s">
        <v>289</v>
      </c>
      <c r="L396" s="56">
        <f t="shared" si="26"/>
        <v>34000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34000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34000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34000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34000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34000</v>
      </c>
      <c r="I415" s="18"/>
      <c r="J415" s="18"/>
      <c r="K415" s="18"/>
      <c r="L415" s="56">
        <f t="shared" si="27"/>
        <v>34000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34000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34000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34000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34000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87113.38-62164.44</f>
        <v>24948.940000000002</v>
      </c>
      <c r="H440" s="18"/>
      <c r="I440" s="56">
        <f t="shared" si="33"/>
        <v>24948.940000000002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62164.44</v>
      </c>
      <c r="H441" s="18"/>
      <c r="I441" s="56">
        <f t="shared" si="33"/>
        <v>62164.44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87113.38</v>
      </c>
      <c r="H446" s="13">
        <f>SUM(H439:H445)</f>
        <v>0</v>
      </c>
      <c r="I446" s="13">
        <f>SUM(I439:I445)</f>
        <v>87113.38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87113.38</v>
      </c>
      <c r="H459" s="18"/>
      <c r="I459" s="56">
        <f t="shared" si="34"/>
        <v>87113.38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87113.38</v>
      </c>
      <c r="H460" s="83">
        <f>SUM(H454:H459)</f>
        <v>0</v>
      </c>
      <c r="I460" s="83">
        <f>SUM(I454:I459)</f>
        <v>87113.38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87113.38</v>
      </c>
      <c r="H461" s="42">
        <f>H452+H460</f>
        <v>0</v>
      </c>
      <c r="I461" s="42">
        <f>I452+I460</f>
        <v>87113.38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-66637.789999999994</v>
      </c>
      <c r="G465" s="18"/>
      <c r="H465" s="18"/>
      <c r="I465" s="18"/>
      <c r="J465" s="18">
        <v>87113.38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2461640.75</v>
      </c>
      <c r="G468" s="18">
        <f>G193</f>
        <v>55108.9</v>
      </c>
      <c r="H468" s="18">
        <f>H193</f>
        <v>255083.89</v>
      </c>
      <c r="I468" s="18"/>
      <c r="J468" s="18">
        <v>34000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2461640.75</v>
      </c>
      <c r="G470" s="53">
        <f>SUM(G468:G469)</f>
        <v>55108.9</v>
      </c>
      <c r="H470" s="53">
        <f>SUM(H468:H469)</f>
        <v>255083.89</v>
      </c>
      <c r="I470" s="53">
        <f>SUM(I468:I469)</f>
        <v>0</v>
      </c>
      <c r="J470" s="53">
        <f>SUM(J468:J469)</f>
        <v>34000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2310605.2800000003</v>
      </c>
      <c r="G472" s="18">
        <f>L362</f>
        <v>54646.59</v>
      </c>
      <c r="H472" s="18">
        <f>L352</f>
        <v>255083.88999999998</v>
      </c>
      <c r="I472" s="18"/>
      <c r="J472" s="18">
        <v>34000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-2424.5+16580.21</f>
        <v>14155.71</v>
      </c>
      <c r="G473" s="18">
        <v>462.31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2324760.9900000002</v>
      </c>
      <c r="G474" s="53">
        <f>SUM(G472:G473)</f>
        <v>55108.899999999994</v>
      </c>
      <c r="H474" s="53">
        <f>SUM(H472:H473)</f>
        <v>255083.88999999998</v>
      </c>
      <c r="I474" s="53">
        <f>SUM(I472:I473)</f>
        <v>0</v>
      </c>
      <c r="J474" s="53">
        <f>SUM(J472:J473)</f>
        <v>34000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70241.969999999739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87113.38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240928.24</v>
      </c>
      <c r="G521" s="18">
        <v>115489.21</v>
      </c>
      <c r="H521" s="18">
        <f>39025.83+474.43</f>
        <v>39500.26</v>
      </c>
      <c r="I521" s="18">
        <v>2253.13</v>
      </c>
      <c r="J521" s="18">
        <v>655</v>
      </c>
      <c r="K521" s="18">
        <v>134.65</v>
      </c>
      <c r="L521" s="88">
        <f>SUM(F521:K521)</f>
        <v>398960.49000000005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397952.62</v>
      </c>
      <c r="G522" s="18">
        <v>184063.48</v>
      </c>
      <c r="H522" s="18">
        <f>40716+239333.43</f>
        <v>280049.43</v>
      </c>
      <c r="I522" s="18">
        <v>6924.79</v>
      </c>
      <c r="J522" s="18"/>
      <c r="K522" s="18">
        <v>5.55</v>
      </c>
      <c r="L522" s="88">
        <f>SUM(F522:K522)</f>
        <v>868995.87000000011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398716.54</v>
      </c>
      <c r="G523" s="18">
        <v>214720.6</v>
      </c>
      <c r="H523" s="18">
        <f>134759.79+679523.98</f>
        <v>814283.77</v>
      </c>
      <c r="I523" s="18">
        <v>3301.35</v>
      </c>
      <c r="J523" s="18">
        <v>379</v>
      </c>
      <c r="K523" s="18">
        <v>54.8</v>
      </c>
      <c r="L523" s="88">
        <f>SUM(F523:K523)</f>
        <v>1431456.0600000003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1037597.3999999999</v>
      </c>
      <c r="G524" s="108">
        <f t="shared" ref="G524:L524" si="36">SUM(G521:G523)</f>
        <v>514273.29000000004</v>
      </c>
      <c r="H524" s="108">
        <f t="shared" si="36"/>
        <v>1133833.46</v>
      </c>
      <c r="I524" s="108">
        <f t="shared" si="36"/>
        <v>12479.27</v>
      </c>
      <c r="J524" s="108">
        <f t="shared" si="36"/>
        <v>1034</v>
      </c>
      <c r="K524" s="108">
        <f t="shared" si="36"/>
        <v>195</v>
      </c>
      <c r="L524" s="89">
        <f t="shared" si="36"/>
        <v>2699412.4200000004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127323.44</v>
      </c>
      <c r="I526" s="18"/>
      <c r="J526" s="18"/>
      <c r="K526" s="18"/>
      <c r="L526" s="88">
        <f>SUM(F526:K526)</f>
        <v>127323.44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101102.75</v>
      </c>
      <c r="I527" s="18">
        <v>398.91</v>
      </c>
      <c r="J527" s="18"/>
      <c r="K527" s="18"/>
      <c r="L527" s="88">
        <f>SUM(F527:K527)</f>
        <v>101501.66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69804.75</v>
      </c>
      <c r="I528" s="18"/>
      <c r="J528" s="18"/>
      <c r="K528" s="18"/>
      <c r="L528" s="88">
        <f>SUM(F528:K528)</f>
        <v>69804.75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298230.94</v>
      </c>
      <c r="I529" s="89">
        <f t="shared" si="37"/>
        <v>398.91</v>
      </c>
      <c r="J529" s="89">
        <f t="shared" si="37"/>
        <v>0</v>
      </c>
      <c r="K529" s="89">
        <f t="shared" si="37"/>
        <v>0</v>
      </c>
      <c r="L529" s="89">
        <f t="shared" si="37"/>
        <v>298629.84999999998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10028</v>
      </c>
      <c r="I531" s="18"/>
      <c r="J531" s="18"/>
      <c r="K531" s="18"/>
      <c r="L531" s="88">
        <f>SUM(F531:K531)</f>
        <v>10028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3471</v>
      </c>
      <c r="I532" s="18"/>
      <c r="J532" s="18"/>
      <c r="K532" s="18"/>
      <c r="L532" s="88">
        <f>SUM(F532:K532)</f>
        <v>3471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5786</v>
      </c>
      <c r="I533" s="18"/>
      <c r="J533" s="18"/>
      <c r="K533" s="18"/>
      <c r="L533" s="88">
        <f>SUM(F533:K533)</f>
        <v>5786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19285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19285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3452.99</v>
      </c>
      <c r="I541" s="18"/>
      <c r="J541" s="18"/>
      <c r="K541" s="18"/>
      <c r="L541" s="88">
        <f>SUM(F541:K541)</f>
        <v>3452.99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4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33.49</v>
      </c>
      <c r="I543" s="18"/>
      <c r="J543" s="18"/>
      <c r="K543" s="18"/>
      <c r="L543" s="88">
        <f>SUM(F543:K543)</f>
        <v>33.49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>SUM(G541:G543)</f>
        <v>0</v>
      </c>
      <c r="H544" s="193">
        <f t="shared" ref="H544:L544" si="40">SUM(H541:H543)</f>
        <v>3486.4799999999996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3486.4799999999996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1037597.3999999999</v>
      </c>
      <c r="G545" s="89">
        <f t="shared" ref="G545:L545" si="41">G524+G529+G534+G539+G544</f>
        <v>514273.29000000004</v>
      </c>
      <c r="H545" s="89">
        <f t="shared" si="41"/>
        <v>1454835.88</v>
      </c>
      <c r="I545" s="89">
        <f t="shared" si="41"/>
        <v>12878.18</v>
      </c>
      <c r="J545" s="89">
        <f t="shared" si="41"/>
        <v>1034</v>
      </c>
      <c r="K545" s="89">
        <f t="shared" si="41"/>
        <v>195</v>
      </c>
      <c r="L545" s="89">
        <f t="shared" si="41"/>
        <v>3020813.7500000005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398960.49000000005</v>
      </c>
      <c r="G549" s="87">
        <f>L526</f>
        <v>127323.44</v>
      </c>
      <c r="H549" s="87">
        <f>L531</f>
        <v>10028</v>
      </c>
      <c r="I549" s="87">
        <f>L536</f>
        <v>0</v>
      </c>
      <c r="J549" s="87">
        <f>L541</f>
        <v>3452.99</v>
      </c>
      <c r="K549" s="87">
        <f>SUM(F549:J549)</f>
        <v>539764.92000000004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868995.87000000011</v>
      </c>
      <c r="G550" s="87">
        <f>L527</f>
        <v>101501.66</v>
      </c>
      <c r="H550" s="87">
        <f>L532</f>
        <v>3471</v>
      </c>
      <c r="I550" s="87">
        <f>L537</f>
        <v>0</v>
      </c>
      <c r="J550" s="87">
        <f>L542</f>
        <v>0</v>
      </c>
      <c r="K550" s="87">
        <f>SUM(F550:J550)</f>
        <v>973968.53000000014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1431456.0600000003</v>
      </c>
      <c r="G551" s="87">
        <f>L528</f>
        <v>69804.75</v>
      </c>
      <c r="H551" s="87">
        <f>L533</f>
        <v>5786</v>
      </c>
      <c r="I551" s="87">
        <f>L538</f>
        <v>0</v>
      </c>
      <c r="J551" s="87">
        <f>L543</f>
        <v>33.49</v>
      </c>
      <c r="K551" s="87">
        <f>SUM(F551:J551)</f>
        <v>1507080.3000000003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2699412.4200000004</v>
      </c>
      <c r="G552" s="89">
        <f t="shared" si="42"/>
        <v>298629.84999999998</v>
      </c>
      <c r="H552" s="89">
        <f t="shared" si="42"/>
        <v>19285</v>
      </c>
      <c r="I552" s="89">
        <f t="shared" si="42"/>
        <v>0</v>
      </c>
      <c r="J552" s="89">
        <f t="shared" si="42"/>
        <v>3486.4799999999996</v>
      </c>
      <c r="K552" s="89">
        <f t="shared" si="42"/>
        <v>3020813.7500000005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>SUM(F557:F559)</f>
        <v>0</v>
      </c>
      <c r="G560" s="108">
        <f>SUM(G557:G559)</f>
        <v>0</v>
      </c>
      <c r="H560" s="108">
        <f t="shared" ref="H560:L560" si="43">SUM(H557:H559)</f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4">
        <v>0</v>
      </c>
      <c r="G562" s="4">
        <v>0</v>
      </c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>SUM(F557:F564)</f>
        <v>0</v>
      </c>
      <c r="G565" s="89">
        <f>SUM(G557:G564)</f>
        <v>0</v>
      </c>
      <c r="H565" s="89">
        <f t="shared" ref="H565:L565" si="44">SUM(H562:H564)</f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100614.76</v>
      </c>
      <c r="H575" s="18">
        <v>368311.12</v>
      </c>
      <c r="I575" s="87">
        <f>SUM(F575:H575)</f>
        <v>468925.88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63350.79</v>
      </c>
      <c r="H576" s="18">
        <v>31649</v>
      </c>
      <c r="I576" s="87">
        <f t="shared" ref="I576:I587" si="47">SUM(F576:H576)</f>
        <v>94999.790000000008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2505</v>
      </c>
      <c r="G579" s="18"/>
      <c r="H579" s="18">
        <v>78459.539999999994</v>
      </c>
      <c r="I579" s="87">
        <f t="shared" si="47"/>
        <v>80964.539999999994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>
        <v>1796.99</v>
      </c>
      <c r="H580" s="18">
        <v>1652.95</v>
      </c>
      <c r="I580" s="87">
        <f t="shared" si="47"/>
        <v>3449.94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19420.75</v>
      </c>
      <c r="G582" s="18"/>
      <c r="H582" s="18"/>
      <c r="I582" s="87">
        <f t="shared" si="47"/>
        <v>19420.75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10966.13</v>
      </c>
      <c r="I583" s="87">
        <f t="shared" si="47"/>
        <v>10966.13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39034.6</v>
      </c>
      <c r="I585" s="87">
        <f t="shared" si="47"/>
        <v>39034.6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74160</v>
      </c>
      <c r="I591" s="18">
        <v>39042.400000000001</v>
      </c>
      <c r="J591" s="18">
        <v>5438.02</v>
      </c>
      <c r="K591" s="104">
        <f t="shared" ref="K591:K597" si="48">SUM(H591:J591)</f>
        <v>118640.42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3452.99</v>
      </c>
      <c r="I592" s="18"/>
      <c r="J592" s="18">
        <v>33.49</v>
      </c>
      <c r="K592" s="104">
        <f t="shared" si="48"/>
        <v>3486.4799999999996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 t="s">
        <v>287</v>
      </c>
      <c r="I593" s="18"/>
      <c r="J593" s="18">
        <v>2375.5100000000002</v>
      </c>
      <c r="K593" s="104">
        <f t="shared" si="48"/>
        <v>2375.5100000000002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4800.5</v>
      </c>
      <c r="I595" s="18"/>
      <c r="J595" s="18"/>
      <c r="K595" s="104">
        <f t="shared" si="48"/>
        <v>4800.5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82413.490000000005</v>
      </c>
      <c r="I598" s="108">
        <f>SUM(I591:I597)</f>
        <v>39042.400000000001</v>
      </c>
      <c r="J598" s="108">
        <f>SUM(J591:J597)</f>
        <v>7847.02</v>
      </c>
      <c r="K598" s="108">
        <f>SUM(K591:K597)</f>
        <v>129302.90999999999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35990.72+38200+1595-595+250</f>
        <v>75440.72</v>
      </c>
      <c r="I604" s="18"/>
      <c r="J604" s="18"/>
      <c r="K604" s="104">
        <f>SUM(H604:J604)</f>
        <v>75440.72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75440.72</v>
      </c>
      <c r="I605" s="108">
        <f>SUM(I602:I604)</f>
        <v>0</v>
      </c>
      <c r="J605" s="108">
        <f>SUM(J602:J604)</f>
        <v>0</v>
      </c>
      <c r="K605" s="108">
        <f>SUM(K602:K604)</f>
        <v>75440.72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22409.24</v>
      </c>
      <c r="G611" s="18">
        <v>4428.47</v>
      </c>
      <c r="H611" s="18"/>
      <c r="I611" s="18">
        <v>30.32</v>
      </c>
      <c r="J611" s="18"/>
      <c r="K611" s="18"/>
      <c r="L611" s="88">
        <f>SUM(F611:K611)</f>
        <v>26868.030000000002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12867.81</v>
      </c>
      <c r="G612" s="18">
        <v>2110.52</v>
      </c>
      <c r="H612" s="18"/>
      <c r="I612" s="18">
        <v>86.02</v>
      </c>
      <c r="J612" s="18"/>
      <c r="K612" s="18"/>
      <c r="L612" s="88">
        <f>SUM(F612:K612)</f>
        <v>15064.35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18372.330000000002</v>
      </c>
      <c r="G613" s="18">
        <v>2661.35</v>
      </c>
      <c r="H613" s="18"/>
      <c r="I613" s="18"/>
      <c r="J613" s="18"/>
      <c r="K613" s="18"/>
      <c r="L613" s="88">
        <f>SUM(F613:K613)</f>
        <v>21033.68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53649.380000000005</v>
      </c>
      <c r="G614" s="108">
        <f t="shared" si="49"/>
        <v>9200.34</v>
      </c>
      <c r="H614" s="108">
        <f t="shared" si="49"/>
        <v>0</v>
      </c>
      <c r="I614" s="108">
        <f t="shared" si="49"/>
        <v>116.34</v>
      </c>
      <c r="J614" s="108">
        <f t="shared" si="49"/>
        <v>0</v>
      </c>
      <c r="K614" s="108">
        <f t="shared" si="49"/>
        <v>0</v>
      </c>
      <c r="L614" s="89">
        <f t="shared" si="49"/>
        <v>62966.060000000005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173452.24000000002</v>
      </c>
      <c r="H617" s="109">
        <f>SUM(F52)</f>
        <v>173452.24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757.36</v>
      </c>
      <c r="H618" s="109">
        <f>SUM(G52)</f>
        <v>757.36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40492.81</v>
      </c>
      <c r="H619" s="109">
        <f>SUM(H52)</f>
        <v>40492.81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87113.38</v>
      </c>
      <c r="H621" s="109">
        <f>SUM(J52)</f>
        <v>87113.38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70241.97</v>
      </c>
      <c r="H622" s="109">
        <f>F476</f>
        <v>70241.969999999739</v>
      </c>
      <c r="I622" s="121" t="s">
        <v>101</v>
      </c>
      <c r="J622" s="109">
        <f t="shared" ref="J622:J655" si="50">G622-H622</f>
        <v>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87113.38</v>
      </c>
      <c r="H626" s="109">
        <f>J476</f>
        <v>87113.38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2461640.75</v>
      </c>
      <c r="H627" s="104">
        <f>SUM(F468)</f>
        <v>2461640.75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55108.9</v>
      </c>
      <c r="H628" s="104">
        <f>SUM(G468)</f>
        <v>55108.9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255083.89</v>
      </c>
      <c r="H629" s="104">
        <f>SUM(H468)</f>
        <v>255083.89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34000</v>
      </c>
      <c r="H631" s="104">
        <f>SUM(J468)</f>
        <v>34000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2310605.2800000003</v>
      </c>
      <c r="H632" s="104">
        <f>SUM(F472)</f>
        <v>2310605.2800000003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255083.88999999998</v>
      </c>
      <c r="H633" s="104">
        <f>SUM(H472)</f>
        <v>255083.88999999998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54646.59</v>
      </c>
      <c r="H635" s="104">
        <f>SUM(G472)</f>
        <v>54646.59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34000</v>
      </c>
      <c r="H637" s="164">
        <f>SUM(J468)</f>
        <v>34000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34000</v>
      </c>
      <c r="H638" s="164">
        <f>SUM(J472)</f>
        <v>34000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87113.38</v>
      </c>
      <c r="H640" s="104">
        <f>SUM(G461)</f>
        <v>87113.38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87113.38</v>
      </c>
      <c r="H642" s="104">
        <f>SUM(I461)</f>
        <v>87113.38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34000</v>
      </c>
      <c r="H645" s="104">
        <f>G408</f>
        <v>34000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34000</v>
      </c>
      <c r="H646" s="104">
        <f>L408</f>
        <v>34000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129302.90999999999</v>
      </c>
      <c r="H647" s="104">
        <f>L208+L226+L244</f>
        <v>129302.91000000002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75440.72</v>
      </c>
      <c r="H648" s="104">
        <f>(J257+J338)-(J255+J336)</f>
        <v>75440.72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82413.490000000005</v>
      </c>
      <c r="H649" s="104">
        <f>H598</f>
        <v>82413.490000000005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39042.400000000001</v>
      </c>
      <c r="H650" s="104">
        <f>I598</f>
        <v>39042.400000000001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7847.02</v>
      </c>
      <c r="H651" s="104">
        <f>J598</f>
        <v>7847.02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23252.97</v>
      </c>
      <c r="H652" s="104">
        <f>K263+K345</f>
        <v>23252.97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34000</v>
      </c>
      <c r="H655" s="104">
        <f>K266+K347</f>
        <v>34000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1606944.0999999999</v>
      </c>
      <c r="G660" s="19">
        <f>(L229+L309+L359)</f>
        <v>219963.83</v>
      </c>
      <c r="H660" s="19">
        <f>(L247+L328+L360)</f>
        <v>571481.95000000007</v>
      </c>
      <c r="I660" s="19">
        <f>SUM(F660:H660)</f>
        <v>2398389.88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10137.58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10137.58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106543.24</v>
      </c>
      <c r="G662" s="19">
        <f>(L226+L306)-(J226+J306)</f>
        <v>39042.400000000001</v>
      </c>
      <c r="H662" s="19">
        <f>(L244+L325)-(J244+J325)</f>
        <v>7847.02</v>
      </c>
      <c r="I662" s="19">
        <f>SUM(F662:H662)</f>
        <v>153432.66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124234.5</v>
      </c>
      <c r="G663" s="199">
        <f>SUM(G575:G587)+SUM(I602:I604)+L612</f>
        <v>180826.88999999998</v>
      </c>
      <c r="H663" s="199">
        <f>SUM(H575:H587)+SUM(J602:J604)+L613</f>
        <v>551107.02</v>
      </c>
      <c r="I663" s="19">
        <f>SUM(F663:H663)</f>
        <v>856168.41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1366028.7799999998</v>
      </c>
      <c r="G664" s="19">
        <f>G660-SUM(G661:G663)</f>
        <v>94.540000000008149</v>
      </c>
      <c r="H664" s="19">
        <f>H660-SUM(H661:H663)</f>
        <v>12527.910000000033</v>
      </c>
      <c r="I664" s="19">
        <f>I660-SUM(I661:I663)</f>
        <v>1378651.23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63.76</v>
      </c>
      <c r="G665" s="248"/>
      <c r="H665" s="248"/>
      <c r="I665" s="19">
        <f>SUM(F665:H665)</f>
        <v>63.76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21424.54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21622.51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-94.54</v>
      </c>
      <c r="H669" s="18">
        <v>-12527.71</v>
      </c>
      <c r="I669" s="19">
        <f>SUM(F669:H669)</f>
        <v>-12622.25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21424.54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21424.54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Warren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416824.94999999995</v>
      </c>
      <c r="C9" s="229">
        <f>'DOE25'!G197+'DOE25'!G215+'DOE25'!G233+'DOE25'!G276+'DOE25'!G295+'DOE25'!G314</f>
        <v>198650.84999999998</v>
      </c>
    </row>
    <row r="10" spans="1:3" x14ac:dyDescent="0.2">
      <c r="A10" t="s">
        <v>779</v>
      </c>
      <c r="B10" s="240">
        <f>+B9-B12</f>
        <v>411927.44999999995</v>
      </c>
      <c r="C10" s="240">
        <v>198650.85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4897.5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416824.94999999995</v>
      </c>
      <c r="C13" s="231">
        <f>SUM(C10:C12)</f>
        <v>198650.85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94471.66</v>
      </c>
      <c r="C18" s="229">
        <f>'DOE25'!G198+'DOE25'!G216+'DOE25'!G234+'DOE25'!G277+'DOE25'!G296+'DOE25'!G315</f>
        <v>46554.09</v>
      </c>
    </row>
    <row r="19" spans="1:3" x14ac:dyDescent="0.2">
      <c r="A19" t="s">
        <v>779</v>
      </c>
      <c r="B19" s="240">
        <f>+B18-B20-B21</f>
        <v>67110.95</v>
      </c>
      <c r="C19" s="240">
        <v>3320.78</v>
      </c>
    </row>
    <row r="20" spans="1:3" x14ac:dyDescent="0.2">
      <c r="A20" t="s">
        <v>780</v>
      </c>
      <c r="B20" s="240">
        <v>27146.86</v>
      </c>
      <c r="C20" s="240">
        <f>+C18-C19</f>
        <v>43233.31</v>
      </c>
    </row>
    <row r="21" spans="1:3" x14ac:dyDescent="0.2">
      <c r="A21" t="s">
        <v>781</v>
      </c>
      <c r="B21" s="240">
        <v>213.85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94471.66</v>
      </c>
      <c r="C22" s="231">
        <f>SUM(C19:C21)</f>
        <v>46554.09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29778.52</v>
      </c>
      <c r="C36" s="235">
        <f>'DOE25'!G200+'DOE25'!G218+'DOE25'!G236+'DOE25'!G279+'DOE25'!G298+'DOE25'!G317</f>
        <v>3886.88</v>
      </c>
    </row>
    <row r="37" spans="1:3" x14ac:dyDescent="0.2">
      <c r="A37" t="s">
        <v>779</v>
      </c>
      <c r="B37" s="240">
        <f>+B36-B39</f>
        <v>28078.52</v>
      </c>
      <c r="C37" s="240">
        <v>3886.88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1700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29778.52</v>
      </c>
      <c r="C40" s="231">
        <f>SUM(C37:C39)</f>
        <v>3886.88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Warren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1487424.12</v>
      </c>
      <c r="D5" s="20">
        <f>SUM('DOE25'!L197:L200)+SUM('DOE25'!L215:L218)+SUM('DOE25'!L233:L236)-F5-G5</f>
        <v>1478881.1600000001</v>
      </c>
      <c r="E5" s="243"/>
      <c r="F5" s="255">
        <f>SUM('DOE25'!J197:J200)+SUM('DOE25'!J215:J218)+SUM('DOE25'!J233:J236)</f>
        <v>7957.06</v>
      </c>
      <c r="G5" s="53">
        <f>SUM('DOE25'!K197:K200)+SUM('DOE25'!K215:K218)+SUM('DOE25'!K233:K236)</f>
        <v>585.9</v>
      </c>
      <c r="H5" s="259"/>
    </row>
    <row r="6" spans="1:9" x14ac:dyDescent="0.2">
      <c r="A6" s="32">
        <v>2100</v>
      </c>
      <c r="B6" t="s">
        <v>801</v>
      </c>
      <c r="C6" s="245">
        <f t="shared" si="0"/>
        <v>87714.64</v>
      </c>
      <c r="D6" s="20">
        <f>'DOE25'!L202+'DOE25'!L220+'DOE25'!L238-F6-G6</f>
        <v>83459.839999999997</v>
      </c>
      <c r="E6" s="243"/>
      <c r="F6" s="255">
        <f>'DOE25'!J202+'DOE25'!J220+'DOE25'!J238</f>
        <v>0</v>
      </c>
      <c r="G6" s="53">
        <f>'DOE25'!K202+'DOE25'!K220+'DOE25'!K238</f>
        <v>4254.8</v>
      </c>
      <c r="H6" s="259"/>
    </row>
    <row r="7" spans="1:9" x14ac:dyDescent="0.2">
      <c r="A7" s="32">
        <v>2200</v>
      </c>
      <c r="B7" t="s">
        <v>834</v>
      </c>
      <c r="C7" s="245">
        <f t="shared" si="0"/>
        <v>42492.27</v>
      </c>
      <c r="D7" s="20">
        <f>'DOE25'!L203+'DOE25'!L221+'DOE25'!L239-F7-G7</f>
        <v>40783.21</v>
      </c>
      <c r="E7" s="243"/>
      <c r="F7" s="255">
        <f>'DOE25'!J203+'DOE25'!J221+'DOE25'!J239</f>
        <v>0</v>
      </c>
      <c r="G7" s="53">
        <f>'DOE25'!K203+'DOE25'!K221+'DOE25'!K239</f>
        <v>1709.06</v>
      </c>
      <c r="H7" s="259"/>
    </row>
    <row r="8" spans="1:9" x14ac:dyDescent="0.2">
      <c r="A8" s="32">
        <v>2300</v>
      </c>
      <c r="B8" t="s">
        <v>802</v>
      </c>
      <c r="C8" s="245">
        <f t="shared" si="0"/>
        <v>70120.009999999995</v>
      </c>
      <c r="D8" s="243"/>
      <c r="E8" s="20">
        <f>'DOE25'!L204+'DOE25'!L222+'DOE25'!L240-F8-G8-D9-D11</f>
        <v>67778.42</v>
      </c>
      <c r="F8" s="255">
        <f>'DOE25'!J204+'DOE25'!J222+'DOE25'!J240</f>
        <v>0</v>
      </c>
      <c r="G8" s="53">
        <f>'DOE25'!K204+'DOE25'!K222+'DOE25'!K240</f>
        <v>2341.59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5294.86</v>
      </c>
      <c r="D9" s="244">
        <v>5294.86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9478</v>
      </c>
      <c r="D10" s="243"/>
      <c r="E10" s="244">
        <v>9478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19500</v>
      </c>
      <c r="D11" s="244">
        <v>19500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116874.39</v>
      </c>
      <c r="D12" s="20">
        <f>'DOE25'!L205+'DOE25'!L223+'DOE25'!L241-F12-G12</f>
        <v>116159.91</v>
      </c>
      <c r="E12" s="243"/>
      <c r="F12" s="255">
        <f>'DOE25'!J205+'DOE25'!J223+'DOE25'!J241</f>
        <v>239.98</v>
      </c>
      <c r="G12" s="53">
        <f>'DOE25'!K205+'DOE25'!K223+'DOE25'!K241</f>
        <v>474.5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127197.57</v>
      </c>
      <c r="D14" s="20">
        <f>'DOE25'!L207+'DOE25'!L225+'DOE25'!L243-F14-G14</f>
        <v>99403.890000000014</v>
      </c>
      <c r="E14" s="243"/>
      <c r="F14" s="255">
        <f>'DOE25'!J207+'DOE25'!J225+'DOE25'!J243</f>
        <v>27793.68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129302.91000000002</v>
      </c>
      <c r="D15" s="20">
        <f>'DOE25'!L208+'DOE25'!L226+'DOE25'!L244-F15-G15</f>
        <v>129302.91000000002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2738.63</v>
      </c>
      <c r="D16" s="243"/>
      <c r="E16" s="20">
        <f>'DOE25'!L209+'DOE25'!L227+'DOE25'!L245-F16-G16</f>
        <v>2738.63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164692.91</v>
      </c>
      <c r="D22" s="243"/>
      <c r="E22" s="243"/>
      <c r="F22" s="255">
        <f>'DOE25'!L255+'DOE25'!L336</f>
        <v>164692.91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54646.59</v>
      </c>
      <c r="D29" s="20">
        <f>'DOE25'!L358+'DOE25'!L359+'DOE25'!L360-'DOE25'!I367-F29-G29</f>
        <v>54646.59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255083.88999999998</v>
      </c>
      <c r="D31" s="20">
        <f>'DOE25'!L290+'DOE25'!L309+'DOE25'!L328+'DOE25'!L333+'DOE25'!L334+'DOE25'!L335-F31-G31</f>
        <v>214543.9</v>
      </c>
      <c r="E31" s="243"/>
      <c r="F31" s="255">
        <f>'DOE25'!J290+'DOE25'!J309+'DOE25'!J328+'DOE25'!J333+'DOE25'!J334+'DOE25'!J335</f>
        <v>39450</v>
      </c>
      <c r="G31" s="53">
        <f>'DOE25'!K290+'DOE25'!K309+'DOE25'!K328+'DOE25'!K333+'DOE25'!K334+'DOE25'!K335</f>
        <v>1089.99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2241976.27</v>
      </c>
      <c r="E33" s="246">
        <f>SUM(E5:E31)</f>
        <v>79995.05</v>
      </c>
      <c r="F33" s="246">
        <f>SUM(F5:F31)</f>
        <v>240133.63</v>
      </c>
      <c r="G33" s="246">
        <f>SUM(G5:G31)</f>
        <v>10455.84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79995.05</v>
      </c>
      <c r="E35" s="249"/>
    </row>
    <row r="36" spans="2:8" ht="12" thickTop="1" x14ac:dyDescent="0.2">
      <c r="B36" t="s">
        <v>815</v>
      </c>
      <c r="D36" s="20">
        <f>D33</f>
        <v>2241976.27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H28" sqref="H2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Warren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133706.31</v>
      </c>
      <c r="D8" s="95">
        <f>'DOE25'!G9</f>
        <v>0</v>
      </c>
      <c r="E8" s="95">
        <f>'DOE25'!H9</f>
        <v>26004.1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24948.940000000002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14488.71</v>
      </c>
      <c r="F11" s="95">
        <f>'DOE25'!I12</f>
        <v>0</v>
      </c>
      <c r="G11" s="95">
        <f>'DOE25'!J12</f>
        <v>62164.44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31849.33</v>
      </c>
      <c r="D12" s="95">
        <f>'DOE25'!G13</f>
        <v>757.36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3694.6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4202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173452.24000000002</v>
      </c>
      <c r="D18" s="41">
        <f>SUM(D8:D17)</f>
        <v>757.36</v>
      </c>
      <c r="E18" s="41">
        <f>SUM(E8:E17)</f>
        <v>40492.81</v>
      </c>
      <c r="F18" s="41">
        <f>SUM(F8:F17)</f>
        <v>0</v>
      </c>
      <c r="G18" s="41">
        <f>SUM(G8:G17)</f>
        <v>87113.38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76165.06</v>
      </c>
      <c r="D21" s="95">
        <f>'DOE25'!G22</f>
        <v>488.05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27045.21</v>
      </c>
      <c r="D23" s="95">
        <f>'DOE25'!G24</f>
        <v>0</v>
      </c>
      <c r="E23" s="95">
        <f>'DOE25'!H24</f>
        <v>5667.06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 t="str">
        <f>'DOE25'!F25</f>
        <v>.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269.31</v>
      </c>
      <c r="E29" s="95">
        <f>'DOE25'!H30</f>
        <v>34825.75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103210.26999999999</v>
      </c>
      <c r="D31" s="41">
        <f>SUM(D21:D30)</f>
        <v>757.36</v>
      </c>
      <c r="E31" s="41">
        <f>SUM(E21:E30)</f>
        <v>40492.81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4202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87113.38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17240.810000000001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23799.16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70241.97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87113.38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173452.24</v>
      </c>
      <c r="D51" s="41">
        <f>D50+D31</f>
        <v>757.36</v>
      </c>
      <c r="E51" s="41">
        <f>E50+E31</f>
        <v>40492.81</v>
      </c>
      <c r="F51" s="41">
        <f>F50+F31</f>
        <v>0</v>
      </c>
      <c r="G51" s="41">
        <f>G50+G31</f>
        <v>87113.38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1543406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200</v>
      </c>
      <c r="D57" s="24" t="s">
        <v>289</v>
      </c>
      <c r="E57" s="95">
        <f>'DOE25'!H79</f>
        <v>20900.78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122.45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10137.58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6304.05</v>
      </c>
      <c r="D61" s="95">
        <f>SUM('DOE25'!G98:G110)</f>
        <v>0</v>
      </c>
      <c r="E61" s="95">
        <f>SUM('DOE25'!H98:H110)</f>
        <v>7012.67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6626.5</v>
      </c>
      <c r="D62" s="130">
        <f>SUM(D57:D61)</f>
        <v>10137.58</v>
      </c>
      <c r="E62" s="130">
        <f>SUM(E57:E61)</f>
        <v>27913.449999999997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1550032.5</v>
      </c>
      <c r="D63" s="22">
        <f>D56+D62</f>
        <v>10137.58</v>
      </c>
      <c r="E63" s="22">
        <f>E56+E62</f>
        <v>27913.449999999997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661593.1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176546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838139.1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24994.14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418.9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24994.14</v>
      </c>
      <c r="D78" s="130">
        <f>SUM(D72:D77)</f>
        <v>418.9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863133.24</v>
      </c>
      <c r="D81" s="130">
        <f>SUM(D79:D80)+D78+D70</f>
        <v>418.9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6190.48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38801.74</v>
      </c>
      <c r="D88" s="95">
        <f>SUM('DOE25'!G153:G161)</f>
        <v>21299.45</v>
      </c>
      <c r="E88" s="95">
        <f>SUM('DOE25'!H153:H161)</f>
        <v>220979.96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9673.27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48475.009999999995</v>
      </c>
      <c r="D91" s="131">
        <f>SUM(D85:D90)</f>
        <v>21299.45</v>
      </c>
      <c r="E91" s="131">
        <f>SUM(E85:E90)</f>
        <v>227170.44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23252.97</v>
      </c>
      <c r="E96" s="95">
        <f>'DOE25'!H179</f>
        <v>0</v>
      </c>
      <c r="F96" s="95">
        <f>'DOE25'!I179</f>
        <v>0</v>
      </c>
      <c r="G96" s="95">
        <f>'DOE25'!J179</f>
        <v>34000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23252.97</v>
      </c>
      <c r="E103" s="86">
        <f>SUM(E93:E102)</f>
        <v>0</v>
      </c>
      <c r="F103" s="86">
        <f>SUM(F93:F102)</f>
        <v>0</v>
      </c>
      <c r="G103" s="86">
        <f>SUM(G93:G102)</f>
        <v>34000</v>
      </c>
    </row>
    <row r="104" spans="1:7" ht="12.75" thickTop="1" thickBot="1" x14ac:dyDescent="0.25">
      <c r="A104" s="33" t="s">
        <v>765</v>
      </c>
      <c r="C104" s="86">
        <f>C63+C81+C91+C103</f>
        <v>2461640.75</v>
      </c>
      <c r="D104" s="86">
        <f>D63+D81+D91+D103</f>
        <v>55108.9</v>
      </c>
      <c r="E104" s="86">
        <f>E63+E81+E91+E103</f>
        <v>255083.89</v>
      </c>
      <c r="F104" s="86">
        <f>F63+F81+F91+F103</f>
        <v>0</v>
      </c>
      <c r="G104" s="86">
        <f>G63+G81+G103</f>
        <v>34000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1193929.27</v>
      </c>
      <c r="D109" s="24" t="s">
        <v>289</v>
      </c>
      <c r="E109" s="95">
        <f>('DOE25'!L276)+('DOE25'!L295)+('DOE25'!L314)</f>
        <v>61976.9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246048.75999999998</v>
      </c>
      <c r="D110" s="24" t="s">
        <v>289</v>
      </c>
      <c r="E110" s="95">
        <f>('DOE25'!L277)+('DOE25'!L296)+('DOE25'!L315)</f>
        <v>10124.25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39034.6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8411.49</v>
      </c>
      <c r="D112" s="24" t="s">
        <v>289</v>
      </c>
      <c r="E112" s="95">
        <f>+('DOE25'!L279)+('DOE25'!L298)+('DOE25'!L317)</f>
        <v>39969.06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1487424.12</v>
      </c>
      <c r="D115" s="86">
        <f>SUM(D109:D114)</f>
        <v>0</v>
      </c>
      <c r="E115" s="86">
        <f>SUM(E109:E114)</f>
        <v>112070.20999999999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87714.64</v>
      </c>
      <c r="D118" s="24" t="s">
        <v>289</v>
      </c>
      <c r="E118" s="95">
        <f>+('DOE25'!L281)+('DOE25'!L300)+('DOE25'!L319)</f>
        <v>50523.24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42492.27</v>
      </c>
      <c r="D119" s="24" t="s">
        <v>289</v>
      </c>
      <c r="E119" s="95">
        <f>+('DOE25'!L282)+('DOE25'!L301)+('DOE25'!L320)</f>
        <v>17123.809999999998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94914.87</v>
      </c>
      <c r="D120" s="24" t="s">
        <v>289</v>
      </c>
      <c r="E120" s="95">
        <f>+('DOE25'!L283)+('DOE25'!L302)+('DOE25'!L321)</f>
        <v>1040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116874.39</v>
      </c>
      <c r="D121" s="24" t="s">
        <v>289</v>
      </c>
      <c r="E121" s="95">
        <f>+('DOE25'!L284)+('DOE25'!L303)+('DOE25'!L322)</f>
        <v>50196.880000000005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127197.57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129302.91000000002</v>
      </c>
      <c r="D124" s="24" t="s">
        <v>289</v>
      </c>
      <c r="E124" s="95">
        <f>+('DOE25'!L287)+('DOE25'!L306)+('DOE25'!L325)</f>
        <v>24129.75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2738.63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54646.59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601235.28</v>
      </c>
      <c r="D128" s="86">
        <f>SUM(D118:D127)</f>
        <v>54646.59</v>
      </c>
      <c r="E128" s="86">
        <f>SUM(E118:E127)</f>
        <v>143013.68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164692.91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23252.97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34000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221945.88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2310605.2800000003</v>
      </c>
      <c r="D145" s="86">
        <f>(D115+D128+D144)</f>
        <v>54646.59</v>
      </c>
      <c r="E145" s="86">
        <f>(E115+E128+E144)</f>
        <v>255083.88999999998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Warren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21425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21425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1255906</v>
      </c>
      <c r="D10" s="182">
        <f>ROUND((C10/$C$28)*100,1)</f>
        <v>52.6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256173</v>
      </c>
      <c r="D11" s="182">
        <f>ROUND((C11/$C$28)*100,1)</f>
        <v>10.7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39035</v>
      </c>
      <c r="D12" s="182">
        <f>ROUND((C12/$C$28)*100,1)</f>
        <v>1.6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48381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138238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59616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98694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167071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127198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153433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44509.42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2388254.42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164693</v>
      </c>
    </row>
    <row r="30" spans="1:4" x14ac:dyDescent="0.2">
      <c r="B30" s="187" t="s">
        <v>729</v>
      </c>
      <c r="C30" s="180">
        <f>SUM(C28:C29)</f>
        <v>2552947.42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1543406</v>
      </c>
      <c r="D35" s="182">
        <f t="shared" ref="D35:D40" si="1">ROUND((C35/$C$41)*100,1)</f>
        <v>56.4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34539.949999999953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838139</v>
      </c>
      <c r="D37" s="182">
        <f t="shared" si="1"/>
        <v>30.6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25413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296945</v>
      </c>
      <c r="D39" s="182">
        <f t="shared" si="1"/>
        <v>10.8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2738442.95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Warren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19</v>
      </c>
      <c r="B4" s="219">
        <v>6</v>
      </c>
      <c r="C4" s="284" t="s">
        <v>913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2015-10-23T14:14:10Z</cp:lastPrinted>
  <dcterms:created xsi:type="dcterms:W3CDTF">1997-12-04T19:04:30Z</dcterms:created>
  <dcterms:modified xsi:type="dcterms:W3CDTF">2015-11-30T14:55:39Z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