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9" i="1" l="1"/>
  <c r="G468" i="1"/>
  <c r="G158" i="1"/>
  <c r="G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D50" i="2" s="1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C119" i="2" s="1"/>
  <c r="L221" i="1"/>
  <c r="L239" i="1"/>
  <c r="F12" i="13"/>
  <c r="G12" i="13"/>
  <c r="L205" i="1"/>
  <c r="C121" i="2" s="1"/>
  <c r="L223" i="1"/>
  <c r="L241" i="1"/>
  <c r="F14" i="13"/>
  <c r="G14" i="13"/>
  <c r="L207" i="1"/>
  <c r="D14" i="13" s="1"/>
  <c r="C14" i="13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2" i="10"/>
  <c r="C16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H661" i="1"/>
  <c r="F662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K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5" i="2" s="1"/>
  <c r="E110" i="2"/>
  <c r="C111" i="2"/>
  <c r="E111" i="2"/>
  <c r="E112" i="2"/>
  <c r="C113" i="2"/>
  <c r="E113" i="2"/>
  <c r="C114" i="2"/>
  <c r="E114" i="2"/>
  <c r="D115" i="2"/>
  <c r="F115" i="2"/>
  <c r="G115" i="2"/>
  <c r="C118" i="2"/>
  <c r="E118" i="2"/>
  <c r="E119" i="2"/>
  <c r="E120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G32" i="1"/>
  <c r="G52" i="1" s="1"/>
  <c r="H618" i="1" s="1"/>
  <c r="H32" i="1"/>
  <c r="I32" i="1"/>
  <c r="H617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H476" i="1" s="1"/>
  <c r="H624" i="1" s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J545" i="1" s="1"/>
  <c r="K524" i="1"/>
  <c r="F529" i="1"/>
  <c r="G529" i="1"/>
  <c r="H529" i="1"/>
  <c r="I529" i="1"/>
  <c r="I545" i="1" s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C18" i="2"/>
  <c r="C26" i="10"/>
  <c r="L328" i="1"/>
  <c r="L351" i="1"/>
  <c r="I662" i="1"/>
  <c r="L290" i="1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C91" i="2"/>
  <c r="F78" i="2"/>
  <c r="F81" i="2" s="1"/>
  <c r="C78" i="2"/>
  <c r="C81" i="2" s="1"/>
  <c r="G157" i="2"/>
  <c r="F18" i="2"/>
  <c r="E103" i="2"/>
  <c r="E62" i="2"/>
  <c r="E63" i="2" s="1"/>
  <c r="E31" i="2"/>
  <c r="G62" i="2"/>
  <c r="D29" i="13"/>
  <c r="C29" i="13" s="1"/>
  <c r="D19" i="13"/>
  <c r="C19" i="13" s="1"/>
  <c r="E13" i="13"/>
  <c r="C13" i="13" s="1"/>
  <c r="E78" i="2"/>
  <c r="E81" i="2" s="1"/>
  <c r="L427" i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I476" i="1"/>
  <c r="H625" i="1" s="1"/>
  <c r="J625" i="1" s="1"/>
  <c r="G338" i="1"/>
  <c r="G352" i="1" s="1"/>
  <c r="F169" i="1"/>
  <c r="J140" i="1"/>
  <c r="F571" i="1"/>
  <c r="I552" i="1"/>
  <c r="K550" i="1"/>
  <c r="G22" i="2"/>
  <c r="K598" i="1"/>
  <c r="G647" i="1" s="1"/>
  <c r="J647" i="1" s="1"/>
  <c r="K545" i="1"/>
  <c r="J552" i="1"/>
  <c r="H552" i="1"/>
  <c r="C29" i="10"/>
  <c r="H140" i="1"/>
  <c r="L401" i="1"/>
  <c r="C139" i="2" s="1"/>
  <c r="L393" i="1"/>
  <c r="F22" i="13"/>
  <c r="J651" i="1"/>
  <c r="J640" i="1"/>
  <c r="J634" i="1"/>
  <c r="H571" i="1"/>
  <c r="L560" i="1"/>
  <c r="H338" i="1"/>
  <c r="H352" i="1" s="1"/>
  <c r="F338" i="1"/>
  <c r="F352" i="1" s="1"/>
  <c r="G192" i="1"/>
  <c r="H192" i="1"/>
  <c r="E128" i="2"/>
  <c r="C35" i="10"/>
  <c r="L309" i="1"/>
  <c r="E16" i="13"/>
  <c r="J655" i="1"/>
  <c r="J645" i="1"/>
  <c r="L570" i="1"/>
  <c r="I571" i="1"/>
  <c r="J636" i="1"/>
  <c r="G36" i="2"/>
  <c r="L565" i="1"/>
  <c r="C22" i="13"/>
  <c r="C138" i="2"/>
  <c r="C16" i="13"/>
  <c r="H545" i="1" l="1"/>
  <c r="G476" i="1"/>
  <c r="H623" i="1" s="1"/>
  <c r="J623" i="1" s="1"/>
  <c r="D31" i="2"/>
  <c r="J649" i="1"/>
  <c r="K549" i="1"/>
  <c r="K552" i="1" s="1"/>
  <c r="F552" i="1"/>
  <c r="L524" i="1"/>
  <c r="L545" i="1" s="1"/>
  <c r="K503" i="1"/>
  <c r="K500" i="1"/>
  <c r="D145" i="2"/>
  <c r="F661" i="1"/>
  <c r="I661" i="1" s="1"/>
  <c r="L362" i="1"/>
  <c r="C27" i="10" s="1"/>
  <c r="J338" i="1"/>
  <c r="J352" i="1" s="1"/>
  <c r="K271" i="1"/>
  <c r="H25" i="13"/>
  <c r="C32" i="10"/>
  <c r="C11" i="10"/>
  <c r="F257" i="1"/>
  <c r="F271" i="1" s="1"/>
  <c r="L247" i="1"/>
  <c r="H660" i="1" s="1"/>
  <c r="H664" i="1" s="1"/>
  <c r="H257" i="1"/>
  <c r="H271" i="1" s="1"/>
  <c r="C18" i="10"/>
  <c r="C17" i="10"/>
  <c r="E8" i="13"/>
  <c r="C8" i="13" s="1"/>
  <c r="C128" i="2"/>
  <c r="C13" i="10"/>
  <c r="A31" i="12"/>
  <c r="L211" i="1"/>
  <c r="C110" i="2"/>
  <c r="D5" i="13"/>
  <c r="C5" i="13" s="1"/>
  <c r="C109" i="2"/>
  <c r="C62" i="2"/>
  <c r="C63" i="2"/>
  <c r="C104" i="2" s="1"/>
  <c r="J624" i="1"/>
  <c r="J622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I663" i="1"/>
  <c r="G635" i="1"/>
  <c r="J635" i="1" s="1"/>
  <c r="D31" i="13" l="1"/>
  <c r="C31" i="13" s="1"/>
  <c r="C25" i="13"/>
  <c r="H33" i="13"/>
  <c r="H672" i="1"/>
  <c r="C6" i="10" s="1"/>
  <c r="H667" i="1"/>
  <c r="L257" i="1"/>
  <c r="L271" i="1" s="1"/>
  <c r="G632" i="1" s="1"/>
  <c r="J632" i="1" s="1"/>
  <c r="E33" i="13"/>
  <c r="D35" i="13" s="1"/>
  <c r="F660" i="1"/>
  <c r="F664" i="1" s="1"/>
  <c r="F672" i="1" s="1"/>
  <c r="C4" i="10" s="1"/>
  <c r="C28" i="10"/>
  <c r="D24" i="10" s="1"/>
  <c r="C115" i="2"/>
  <c r="C145" i="2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 l="1"/>
  <c r="F667" i="1"/>
  <c r="D22" i="10"/>
  <c r="I660" i="1"/>
  <c r="I664" i="1" s="1"/>
  <c r="I672" i="1" s="1"/>
  <c r="C7" i="10" s="1"/>
  <c r="D10" i="10"/>
  <c r="D26" i="10"/>
  <c r="D11" i="10"/>
  <c r="D25" i="10"/>
  <c r="D20" i="10"/>
  <c r="D21" i="10"/>
  <c r="D15" i="10"/>
  <c r="D16" i="10"/>
  <c r="D13" i="10"/>
  <c r="C30" i="10"/>
  <c r="D19" i="10"/>
  <c r="D27" i="10"/>
  <c r="D18" i="10"/>
  <c r="D17" i="10"/>
  <c r="D12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<sst xmlns="http://schemas.openxmlformats.org/spreadsheetml/2006/main" count="3956" uniqueCount="914">
  <si>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</si>
  <si>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</si>
  <si>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</si>
  <si>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</si>
  <si>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</si>
  <si>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</si>
  <si>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</si>
  <si>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</si>
  <si>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</si>
  <si>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</si>
  <si>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</si>
  <si>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</si>
  <si>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</si>
  <si>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</si>
  <si>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</si>
  <si>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</si>
  <si>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</si>
  <si>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</si>
  <si>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</si>
  <si>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</si>
  <si>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</si>
  <si>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</si>
  <si>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</si>
  <si>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</si>
  <si>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</si>
  <si>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</si>
  <si>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</si>
  <si>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</si>
  <si>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</si>
  <si>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</si>
  <si>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</si>
  <si>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</si>
  <si>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</si>
  <si>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</si>
  <si>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</si>
  <si>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</si>
  <si>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</si>
  <si>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</si>
  <si>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</si>
  <si>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</si>
  <si>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</si>
  <si>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</si>
  <si>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</si>
  <si>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</si>
  <si>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</si>
  <si>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</si>
  <si>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</si>
  <si>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</si>
  <si>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</si>
  <si>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</si>
  <si>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</si>
  <si>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</si>
  <si>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</si>
  <si>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</si>
  <si>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</si>
  <si>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</si>
  <si>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</si>
  <si>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</si>
  <si>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</si>
  <si>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</si>
  <si>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</si>
  <si>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</si>
  <si>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</si>
  <si>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</si>
  <si>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</si>
  <si>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</si>
  <si>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</si>
  <si>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</si>
  <si>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</si>
  <si>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</si>
  <si>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</si>
  <si>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</si>
  <si>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</si>
  <si>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</si>
  <si>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</si>
  <si>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</si>
  <si>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</si>
  <si>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</si>
  <si>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</si>
  <si>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</si>
  <si>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</si>
  <si>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</si>
  <si>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</si>
  <si>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</si>
  <si>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</si>
  <si>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</si>
  <si>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</si>
  <si>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</si>
  <si>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</si>
  <si>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</si>
  <si>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</si>
  <si>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</si>
  <si>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</si>
  <si>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</si>
  <si>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</si>
  <si>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</si>
  <si>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</si>
  <si>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</si>
  <si>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</si>
  <si>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</si>
  <si>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</si>
  <si>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</si>
  <si>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</si>
  <si>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</si>
  <si>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</si>
  <si>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</si>
  <si>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</si>
  <si>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</si>
  <si>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</si>
  <si>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</si>
  <si>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</si>
  <si>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</si>
  <si>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</si>
  <si>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</si>
  <si>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</si>
  <si>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</si>
  <si>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</si>
  <si>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</si>
  <si>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</si>
  <si>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</si>
  <si>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</si>
  <si>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</si>
  <si>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</si>
  <si>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</si>
  <si>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</si>
  <si>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</si>
  <si>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</si>
  <si>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</si>
  <si>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</si>
  <si>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</si>
  <si>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</si>
  <si>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</si>
  <si>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</si>
  <si>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</si>
  <si>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</si>
  <si>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</si>
  <si>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</si>
  <si>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</si>
  <si>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</si>
  <si>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</si>
  <si>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</si>
  <si>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</si>
  <si>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</si>
  <si>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</si>
  <si>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</si>
  <si>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</si>
  <si>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</si>
  <si>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</si>
  <si>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</si>
  <si>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</si>
  <si>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</si>
  <si>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</si>
  <si>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</si>
  <si>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</si>
  <si>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</si>
  <si>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</si>
  <si>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</si>
  <si>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</si>
  <si>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</si>
  <si>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</si>
  <si>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</si>
  <si>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</si>
  <si>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</si>
  <si>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</si>
  <si>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</si>
  <si>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</si>
  <si>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</si>
  <si>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</si>
  <si>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</si>
  <si>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</si>
  <si>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</si>
  <si>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</si>
  <si>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</si>
  <si>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</si>
  <si>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</si>
  <si>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</si>
  <si>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</si>
  <si>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</si>
  <si>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</si>
  <si>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</si>
  <si>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</si>
  <si>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</si>
  <si>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</si>
  <si>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</si>
  <si>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</si>
  <si>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</si>
  <si>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</si>
  <si>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</si>
  <si>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</si>
  <si>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</si>
  <si>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</si>
  <si>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</si>
  <si>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</si>
  <si>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</si>
  <si>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</si>
  <si>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</si>
  <si>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</si>
  <si>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</si>
  <si>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</si>
  <si>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</si>
  <si>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</si>
  <si>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</si>
  <si>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</si>
  <si>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</si>
  <si>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</si>
  <si>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</si>
  <si>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</si>
  <si>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</si>
  <si>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</si>
  <si>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</si>
  <si>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</si>
  <si>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</si>
  <si>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</si>
  <si>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</si>
  <si>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</si>
  <si>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</si>
  <si>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</si>
  <si>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</si>
  <si>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</si>
  <si>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</si>
  <si>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</si>
  <si>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</si>
  <si>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</si>
  <si>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</si>
  <si>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</si>
  <si>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</si>
  <si>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</si>
  <si>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</si>
  <si>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</si>
  <si>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</si>
  <si>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</si>
  <si>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</si>
  <si>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</si>
  <si>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</si>
  <si>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</si>
  <si>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</si>
  <si>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</si>
  <si>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</si>
  <si>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</si>
  <si>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</si>
  <si>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</si>
  <si>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</si>
  <si>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</si>
  <si>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</si>
  <si>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</si>
  <si>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</si>
  <si>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</si>
  <si>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</si>
  <si>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</si>
  <si>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</si>
  <si>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</si>
  <si>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</si>
  <si>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</si>
  <si>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</si>
  <si>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</si>
  <si>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</si>
  <si>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</si>
  <si>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</si>
  <si>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</si>
  <si>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</si>
  <si>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</si>
  <si>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</si>
  <si>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</si>
  <si>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</si>
  <si>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</si>
  <si>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</si>
  <si>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</si>
  <si>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</si>
  <si>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</si>
  <si>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</si>
  <si>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</si>
  <si>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</si>
  <si>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</si>
  <si>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</si>
  <si>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</si>
  <si>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</si>
  <si>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</si>
  <si>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</si>
  <si>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</si>
  <si>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</si>
  <si>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</si>
  <si>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</si>
  <si>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</si>
  <si>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</si>
  <si>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</si>
  <si>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</si>
  <si>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</si>
  <si>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</si>
  <si>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</si>
  <si>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</si>
  <si>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</si>
  <si>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</si>
  <si>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</si>
  <si>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</si>
  <si>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</si>
  <si>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</si>
  <si>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</si>
  <si>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</si>
  <si>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</si>
  <si>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</si>
  <si>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</si>
  <si>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</si>
  <si>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</si>
  <si>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</si>
  <si>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</si>
  <si>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</si>
  <si>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</si>
  <si>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</si>
  <si>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</si>
  <si>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</si>
  <si>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</si>
  <si>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</si>
  <si>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</si>
  <si>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</si>
  <si>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</si>
  <si>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</si>
  <si>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</si>
  <si>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</si>
  <si>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</si>
  <si>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</si>
  <si>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</si>
  <si>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</si>
  <si>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</si>
  <si>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</si>
  <si>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</si>
  <si>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</si>
  <si>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</si>
  <si>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</si>
  <si>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</si>
  <si>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</si>
  <si>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</si>
  <si>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</si>
  <si>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</si>
  <si>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</si>
  <si>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</si>
  <si>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</si>
  <si>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</si>
  <si>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</si>
  <si>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</si>
  <si>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</si>
  <si>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</si>
  <si>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</si>
  <si>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</si>
  <si>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</si>
  <si>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</si>
  <si>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</si>
  <si>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</si>
  <si>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</si>
  <si>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</si>
  <si>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</si>
  <si>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</si>
  <si>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</si>
  <si>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</si>
  <si>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</si>
  <si>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</si>
  <si>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</si>
  <si>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</si>
  <si>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</si>
  <si>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</si>
  <si>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</si>
  <si>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</si>
  <si>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</si>
  <si>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</si>
  <si>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</si>
  <si>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</si>
  <si>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</si>
  <si>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</si>
  <si>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</si>
  <si>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</si>
  <si>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</si>
  <si>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</si>
  <si>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</si>
  <si>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</si>
  <si>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</si>
  <si>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</si>
  <si>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</si>
  <si>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</si>
  <si>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</si>
  <si>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</si>
  <si>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</si>
  <si>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</si>
  <si>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</si>
  <si>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</si>
  <si>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</si>
  <si>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</si>
  <si>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</si>
  <si>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</si>
  <si>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</si>
  <si>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</si>
  <si>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</si>
  <si>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</si>
  <si>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</si>
  <si>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</si>
  <si>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</si>
  <si>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</si>
  <si>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</si>
  <si>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</si>
  <si>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</si>
  <si>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</si>
  <si>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</si>
  <si>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</si>
  <si>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</si>
  <si>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</si>
  <si>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</si>
  <si>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</si>
  <si>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</si>
  <si>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</si>
  <si>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</si>
  <si>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</si>
  <si>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</si>
  <si>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</si>
  <si>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</si>
  <si>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</si>
  <si>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</si>
  <si>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</si>
  <si>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</si>
  <si>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</si>
  <si>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</si>
  <si>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</si>
  <si>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</si>
  <si>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</si>
  <si>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</si>
  <si>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</si>
  <si>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</si>
  <si>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</si>
  <si>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</si>
  <si>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</si>
  <si>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</si>
  <si>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</si>
  <si>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</si>
  <si>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</si>
  <si>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</si>
  <si>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</si>
  <si>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</si>
  <si>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</si>
  <si>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</si>
  <si>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</si>
  <si>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</si>
  <si>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</si>
  <si>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</si>
  <si>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</si>
  <si>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</si>
  <si>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</si>
  <si>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</si>
  <si>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</si>
  <si>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</si>
  <si>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</si>
  <si>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</si>
  <si>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</si>
  <si>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</si>
  <si>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</si>
  <si>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</si>
  <si>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</si>
  <si>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</si>
  <si>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</si>
  <si>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</si>
  <si>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</si>
  <si>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</si>
  <si>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</si>
  <si>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</si>
  <si>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</si>
  <si>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</si>
  <si>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</si>
  <si>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</si>
  <si>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</si>
  <si>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</si>
  <si>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</si>
  <si>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</si>
  <si>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</si>
  <si>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</si>
  <si>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</si>
  <si>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</si>
  <si>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</si>
  <si>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</si>
  <si>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</si>
  <si>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</si>
  <si>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</si>
  <si>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</si>
  <si>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</si>
  <si>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</si>
  <si>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</si>
  <si>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</si>
  <si>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</si>
  <si>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</si>
  <si>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</si>
  <si>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</si>
  <si>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</si>
  <si>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</si>
  <si>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</si>
  <si>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</si>
  <si>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</si>
  <si>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</si>
  <si>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</si>
  <si>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</si>
  <si>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</si>
  <si>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</si>
  <si>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</si>
  <si>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</si>
  <si>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</si>
  <si>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</si>
  <si>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</si>
  <si>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</si>
  <si>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</si>
  <si>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</si>
  <si>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</si>
  <si>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</si>
  <si>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</si>
  <si>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</si>
  <si>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</si>
  <si>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</si>
  <si>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</si>
  <si>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</si>
  <si>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</si>
  <si>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</si>
  <si>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</si>
  <si>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</si>
  <si>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</si>
  <si>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</si>
  <si>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</si>
  <si>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</si>
  <si>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</si>
  <si>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</si>
  <si>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</si>
  <si>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</si>
  <si>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</si>
  <si>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</si>
  <si>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</si>
  <si>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</si>
  <si>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</si>
  <si>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</si>
  <si>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</si>
  <si>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</si>
  <si>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</si>
  <si>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</si>
  <si>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</si>
  <si>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</si>
  <si>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</si>
  <si>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</si>
  <si>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</si>
  <si>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</si>
  <si>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</si>
  <si>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</si>
  <si>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</si>
  <si>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</si>
  <si>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</si>
  <si>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</si>
  <si>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</si>
  <si>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</si>
  <si>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</si>
  <si>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</si>
  <si>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</si>
  <si>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</si>
  <si>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</si>
  <si>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</si>
  <si>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</si>
  <si>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</si>
  <si>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</si>
  <si>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</si>
  <si>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</si>
  <si>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</si>
  <si>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</si>
  <si>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</si>
  <si>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</si>
  <si>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</si>
  <si>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</si>
  <si>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</si>
  <si>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</si>
  <si>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</si>
  <si>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</si>
  <si>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</si>
  <si>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</si>
  <si>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</si>
  <si>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</si>
  <si>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</si>
  <si>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</si>
  <si>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</si>
  <si>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</si>
  <si>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</si>
  <si>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</si>
  <si>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</si>
  <si>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</si>
  <si>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</si>
  <si>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</si>
  <si>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</si>
  <si>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</si>
  <si>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</si>
  <si>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</si>
  <si>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</si>
  <si>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</si>
  <si>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</si>
  <si>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</si>
  <si>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</si>
  <si>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</si>
  <si>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</si>
  <si>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</si>
  <si>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</si>
  <si>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</si>
  <si>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</si>
  <si>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</si>
  <si>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</si>
  <si>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</si>
  <si>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</si>
  <si>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</si>
  <si>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</si>
  <si>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</si>
  <si>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</si>
  <si>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</si>
  <si>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</si>
  <si>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</si>
  <si>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</si>
  <si>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</si>
  <si>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</si>
  <si>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</si>
  <si>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</si>
  <si>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</si>
  <si>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</si>
  <si>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</si>
  <si>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</si>
  <si>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</si>
  <si>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</si>
  <si>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</si>
  <si>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</si>
  <si>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</si>
  <si>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</si>
  <si>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</si>
  <si>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</si>
  <si>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</si>
  <si>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</si>
  <si>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</si>
  <si>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</si>
  <si>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</si>
  <si>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</si>
  <si>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</si>
  <si>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</si>
  <si>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</si>
  <si>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</si>
  <si>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</si>
  <si>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</si>
  <si>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</si>
  <si>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</si>
  <si>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</si>
  <si>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</si>
  <si>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</si>
  <si>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</si>
  <si>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</si>
  <si>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</si>
  <si>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</si>
  <si>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</si>
  <si>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</si>
  <si>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</si>
  <si>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</si>
  <si>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</si>
  <si>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</si>
  <si>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</si>
  <si>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</si>
  <si>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</si>
  <si>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</si>
  <si>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</si>
  <si>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</si>
  <si>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</si>
  <si>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</si>
  <si>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</si>
  <si>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</si>
  <si>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</si>
  <si>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</si>
  <si>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</si>
  <si>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</si>
  <si>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</si>
  <si>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</si>
  <si>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</si>
  <si>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</si>
  <si>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</si>
  <si>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</si>
  <si>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</si>
  <si>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</si>
  <si>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</si>
  <si>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</si>
  <si>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</si>
  <si>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</si>
  <si>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</si>
  <si>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</si>
  <si>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</si>
  <si>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</si>
  <si>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</si>
  <si>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</si>
  <si>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</si>
  <si>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</si>
  <si>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</si>
  <si>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</si>
  <si>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</si>
  <si>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</si>
  <si>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</si>
  <si>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</si>
  <si>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</si>
  <si>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</si>
  <si>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</si>
  <si>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</si>
  <si>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</si>
  <si>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</si>
  <si>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</si>
  <si>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</si>
  <si>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</si>
  <si>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</si>
  <si>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</si>
  <si>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</si>
  <si>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</si>
  <si>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</si>
  <si>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</si>
  <si>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</si>
  <si>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</si>
  <si>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</si>
  <si>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</si>
  <si>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</si>
  <si>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</si>
  <si>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</si>
  <si>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</si>
  <si>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</si>
  <si>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</si>
  <si>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</si>
  <si>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</si>
  <si>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</si>
  <si>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</si>
  <si>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</si>
  <si>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</si>
  <si>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</si>
  <si>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</si>
  <si>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</si>
  <si>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</si>
  <si>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</si>
  <si>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</si>
  <si>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</si>
  <si>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</si>
  <si>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</si>
  <si>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</si>
  <si>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</si>
  <si>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</si>
  <si>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</si>
  <si>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</si>
  <si>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</si>
  <si>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</si>
  <si>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</si>
  <si>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</si>
  <si>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</si>
  <si>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</si>
  <si>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</si>
  <si>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</si>
  <si>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</si>
  <si>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</si>
  <si>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</si>
  <si>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</si>
  <si>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</si>
  <si>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</si>
  <si>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</si>
  <si>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</si>
  <si>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</si>
  <si>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</si>
  <si>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</si>
  <si>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</si>
  <si>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</si>
  <si>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</si>
  <si>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</si>
  <si>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</si>
  <si>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</si>
  <si>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</si>
  <si>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</si>
  <si>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</si>
  <si>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</si>
  <si>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</si>
  <si>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</si>
  <si>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</si>
  <si>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</si>
  <si>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</si>
  <si>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</si>
  <si>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</si>
  <si>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</si>
  <si>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</si>
  <si>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</si>
  <si>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</si>
  <si>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</si>
  <si>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</si>
  <si>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</si>
  <si>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</si>
  <si>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</si>
  <si>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</si>
  <si>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</si>
  <si>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</si>
  <si>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</si>
  <si>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</si>
  <si>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</si>
  <si>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</si>
  <si>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</si>
  <si>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</si>
  <si>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</si>
  <si>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</si>
  <si>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</si>
  <si>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</si>
  <si>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</si>
  <si>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</si>
  <si>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</si>
  <si>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</si>
  <si>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</si>
  <si>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</si>
  <si>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</si>
  <si>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</si>
  <si>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</si>
  <si>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</si>
  <si>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</si>
  <si>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</si>
  <si>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</si>
  <si>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</si>
  <si>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</si>
  <si>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</si>
  <si>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</si>
  <si>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</si>
  <si>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</si>
  <si>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</si>
  <si>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</si>
  <si>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</si>
  <si>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</si>
  <si>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</si>
  <si>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</si>
  <si>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</si>
  <si>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</si>
  <si>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</si>
  <si>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</si>
  <si>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</si>
  <si>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</si>
  <si>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</si>
  <si>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</si>
  <si>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</si>
  <si>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</si>
  <si>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</si>
  <si>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</si>
  <si>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</si>
  <si>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</si>
  <si>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</si>
  <si>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</si>
  <si>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</si>
  <si>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</si>
  <si>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</si>
  <si>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</si>
  <si>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</si>
  <si>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</si>
  <si>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</si>
  <si>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</si>
  <si>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</si>
  <si>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</si>
  <si>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</si>
  <si>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</si>
  <si>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</si>
  <si>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</si>
  <si>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</si>
  <si>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</si>
  <si>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</si>
  <si>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</si>
  <si>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</si>
  <si>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</si>
  <si>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</si>
  <si>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</si>
  <si>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</si>
  <si>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</si>
  <si>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</si>
  <si>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</si>
  <si>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</si>
  <si>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</si>
  <si>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</si>
  <si>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</si>
  <si>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</si>
  <si>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</si>
  <si>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</si>
  <si>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</si>
  <si>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</si>
  <si>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</si>
  <si>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</si>
  <si>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</si>
  <si>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</si>
  <si>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</si>
  <si>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</si>
  <si>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</si>
  <si>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</si>
  <si>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</si>
  <si>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</si>
  <si>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</si>
  <si>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</si>
  <si>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</si>
  <si>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</si>
  <si>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</si>
  <si>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</si>
  <si>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</si>
  <si>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</si>
  <si>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</si>
  <si>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</si>
  <si>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</si>
  <si>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</si>
  <si>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</si>
  <si>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</si>
  <si>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</si>
  <si>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</si>
  <si>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</si>
  <si>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</si>
  <si>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</si>
  <si>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</si>
  <si>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</si>
  <si>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</si>
  <si>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</si>
  <si>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</si>
  <si>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</si>
  <si>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</si>
  <si>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</si>
  <si>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</si>
  <si>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</si>
  <si>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WATERVILLE VALLEY SCHOOL DISTRICT</t>
  </si>
  <si>
    <t>01/11</t>
  </si>
  <si>
    <t>08/16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</si>
</sst>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543" activePane="bottomRight" state="frozen"/>
      <selection pane="topRight" activeCell="F1" sqref="F1"/>
      <selection pane="bottomLeft" activeCell="A4" sqref="A4"/>
      <selection pane="bottomRight" activeCell="I523" sqref="I52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553</v>
      </c>
      <c r="C2" s="21">
        <v>553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90350.22</v>
      </c>
      <c r="G9" s="18">
        <f>-53.65-65.98</f>
        <v>-119.63</v>
      </c>
      <c r="H9" s="18">
        <v>-3033.02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4642.7700000000004</v>
      </c>
      <c r="G13" s="18">
        <v>53.65</v>
      </c>
      <c r="H13" s="18">
        <v>3489.64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15000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109992.99</v>
      </c>
      <c r="G19" s="41">
        <f>SUM(G9:G18)</f>
        <v>-65.97999999999999</v>
      </c>
      <c r="H19" s="41">
        <f>SUM(H9:H18)</f>
        <v>456.61999999999989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6592.61</v>
      </c>
      <c r="G24" s="18"/>
      <c r="H24" s="18">
        <v>456.62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18000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24592.61</v>
      </c>
      <c r="G32" s="41">
        <f>SUM(G22:G31)</f>
        <v>0</v>
      </c>
      <c r="H32" s="41">
        <f>SUM(H22:H31)</f>
        <v>456.62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-65.98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52762.27</v>
      </c>
      <c r="G45" s="18"/>
      <c r="H45" s="18">
        <v>7144.05</v>
      </c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-7144.05</v>
      </c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32638.11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85400.38</v>
      </c>
      <c r="G51" s="41">
        <f>SUM(G35:G50)</f>
        <v>-65.98</v>
      </c>
      <c r="H51" s="41">
        <f>SUM(H35:H50)</f>
        <v>0</v>
      </c>
      <c r="I51" s="41">
        <f>SUM(I35:I50)</f>
        <v>0</v>
      </c>
      <c r="J51" s="41">
        <f>SUM(J35:J50)</f>
        <v>0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109992.99</v>
      </c>
      <c r="G52" s="41">
        <f>G51+G32</f>
        <v>-65.98</v>
      </c>
      <c r="H52" s="41">
        <f>H51+H32</f>
        <v>456.62</v>
      </c>
      <c r="I52" s="41">
        <f>I51+I32</f>
        <v>0</v>
      </c>
      <c r="J52" s="41">
        <f>J51+J32</f>
        <v>0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311527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311527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25154.240000000002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25154.240000000002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50.86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1260.36-15.27</f>
        <v>1245.0899999999999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2051.5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2102.36</v>
      </c>
      <c r="G111" s="41">
        <f>SUM(G96:G110)</f>
        <v>1245.0899999999999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338783.6</v>
      </c>
      <c r="G112" s="41">
        <f>G60+G111</f>
        <v>1245.0899999999999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859043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859043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859043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2582.23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235.08+15.27-65.98</f>
        <v>184.37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4642.7700000000004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14027.84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4642.7700000000004</v>
      </c>
      <c r="G162" s="41">
        <f>SUM(G150:G161)</f>
        <v>184.37</v>
      </c>
      <c r="H162" s="41">
        <f>SUM(H150:H161)</f>
        <v>16610.07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22102.9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26745.670000000002</v>
      </c>
      <c r="G169" s="41">
        <f>G147+G162+SUM(G163:G168)</f>
        <v>184.37</v>
      </c>
      <c r="H169" s="41">
        <f>H147+H162+SUM(H163:H168)</f>
        <v>16610.07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952.03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952.03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952.03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1224572.27</v>
      </c>
      <c r="G193" s="47">
        <f>G112+G140+G169+G192</f>
        <v>2381.4899999999998</v>
      </c>
      <c r="H193" s="47">
        <f>H112+H140+H169+H192</f>
        <v>16610.07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247617.81</v>
      </c>
      <c r="G197" s="18">
        <v>83293.75</v>
      </c>
      <c r="H197" s="18">
        <v>10394.129999999999</v>
      </c>
      <c r="I197" s="18">
        <v>12992.76</v>
      </c>
      <c r="J197" s="18">
        <v>370.21</v>
      </c>
      <c r="K197" s="18">
        <v>305</v>
      </c>
      <c r="L197" s="19">
        <f>SUM(F197:K197)</f>
        <v>354973.66000000003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21967.83</v>
      </c>
      <c r="G198" s="18">
        <v>15549.65</v>
      </c>
      <c r="H198" s="18">
        <v>6974.45</v>
      </c>
      <c r="I198" s="18">
        <v>409.54</v>
      </c>
      <c r="J198" s="18">
        <v>205.14</v>
      </c>
      <c r="K198" s="18">
        <v>204</v>
      </c>
      <c r="L198" s="19">
        <f>SUM(F198:K198)</f>
        <v>45310.61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2048.36</v>
      </c>
      <c r="G200" s="18">
        <v>347.95</v>
      </c>
      <c r="H200" s="18">
        <v>0</v>
      </c>
      <c r="I200" s="18">
        <v>2137.87</v>
      </c>
      <c r="J200" s="18"/>
      <c r="K200" s="18"/>
      <c r="L200" s="19">
        <f>SUM(F200:K200)</f>
        <v>4534.18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7646</v>
      </c>
      <c r="G202" s="18">
        <v>1221.33</v>
      </c>
      <c r="H202" s="18">
        <v>20384.830000000002</v>
      </c>
      <c r="I202" s="18">
        <v>693.98</v>
      </c>
      <c r="J202" s="18"/>
      <c r="K202" s="18">
        <v>169</v>
      </c>
      <c r="L202" s="19">
        <f t="shared" ref="L202:L208" si="0">SUM(F202:K202)</f>
        <v>30115.140000000003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1910.71</v>
      </c>
      <c r="G203" s="18">
        <v>11121.99</v>
      </c>
      <c r="H203" s="18"/>
      <c r="I203" s="18">
        <v>7382.25</v>
      </c>
      <c r="J203" s="18">
        <v>364.21</v>
      </c>
      <c r="K203" s="18"/>
      <c r="L203" s="19">
        <f t="shared" si="0"/>
        <v>20779.16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2000</v>
      </c>
      <c r="G204" s="18">
        <v>153</v>
      </c>
      <c r="H204" s="18">
        <v>99767.06</v>
      </c>
      <c r="I204" s="18"/>
      <c r="J204" s="18"/>
      <c r="K204" s="18">
        <v>2356.52</v>
      </c>
      <c r="L204" s="19">
        <f t="shared" si="0"/>
        <v>104276.58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117320.6</v>
      </c>
      <c r="G205" s="18">
        <v>53249.13</v>
      </c>
      <c r="H205" s="18">
        <v>593.35</v>
      </c>
      <c r="I205" s="18">
        <v>1720.91</v>
      </c>
      <c r="J205" s="18"/>
      <c r="K205" s="18">
        <v>984</v>
      </c>
      <c r="L205" s="19">
        <f t="shared" si="0"/>
        <v>173867.99000000002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44064.72</v>
      </c>
      <c r="G207" s="18">
        <v>13398.67</v>
      </c>
      <c r="H207" s="18">
        <v>43515.33</v>
      </c>
      <c r="I207" s="18">
        <v>39961.870000000003</v>
      </c>
      <c r="J207" s="18">
        <v>11060.75</v>
      </c>
      <c r="K207" s="18"/>
      <c r="L207" s="19">
        <f t="shared" si="0"/>
        <v>152001.34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5020</v>
      </c>
      <c r="I208" s="18"/>
      <c r="J208" s="18"/>
      <c r="K208" s="18"/>
      <c r="L208" s="19">
        <f t="shared" si="0"/>
        <v>5020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444576.03</v>
      </c>
      <c r="G211" s="41">
        <f t="shared" si="1"/>
        <v>178335.47</v>
      </c>
      <c r="H211" s="41">
        <f t="shared" si="1"/>
        <v>186649.15000000002</v>
      </c>
      <c r="I211" s="41">
        <f t="shared" si="1"/>
        <v>65299.180000000008</v>
      </c>
      <c r="J211" s="41">
        <f t="shared" si="1"/>
        <v>12000.31</v>
      </c>
      <c r="K211" s="41">
        <f t="shared" si="1"/>
        <v>4018.52</v>
      </c>
      <c r="L211" s="41">
        <f t="shared" si="1"/>
        <v>890878.65999999992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183935.73</v>
      </c>
      <c r="I233" s="18"/>
      <c r="J233" s="18"/>
      <c r="K233" s="18"/>
      <c r="L233" s="19">
        <f>SUM(F233:K233)</f>
        <v>183935.73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40899.440000000002</v>
      </c>
      <c r="I234" s="18"/>
      <c r="J234" s="18"/>
      <c r="K234" s="18"/>
      <c r="L234" s="19">
        <f>SUM(F234:K234)</f>
        <v>40899.440000000002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224835.17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224835.17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444576.03</v>
      </c>
      <c r="G257" s="41">
        <f t="shared" si="8"/>
        <v>178335.47</v>
      </c>
      <c r="H257" s="41">
        <f t="shared" si="8"/>
        <v>411484.32000000007</v>
      </c>
      <c r="I257" s="41">
        <f t="shared" si="8"/>
        <v>65299.180000000008</v>
      </c>
      <c r="J257" s="41">
        <f t="shared" si="8"/>
        <v>12000.31</v>
      </c>
      <c r="K257" s="41">
        <f t="shared" si="8"/>
        <v>4018.52</v>
      </c>
      <c r="L257" s="41">
        <f t="shared" si="8"/>
        <v>1115713.8299999998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75000</v>
      </c>
      <c r="L260" s="19">
        <f>SUM(F260:K260)</f>
        <v>75000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3670.51</v>
      </c>
      <c r="L261" s="19">
        <f>SUM(F261:K261)</f>
        <v>3670.51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952.03</v>
      </c>
      <c r="L263" s="19">
        <f>SUM(F263:K263)</f>
        <v>952.03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79622.539999999994</v>
      </c>
      <c r="L270" s="41">
        <f t="shared" si="9"/>
        <v>79622.539999999994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444576.03</v>
      </c>
      <c r="G271" s="42">
        <f t="shared" si="11"/>
        <v>178335.47</v>
      </c>
      <c r="H271" s="42">
        <f t="shared" si="11"/>
        <v>411484.32000000007</v>
      </c>
      <c r="I271" s="42">
        <f t="shared" si="11"/>
        <v>65299.180000000008</v>
      </c>
      <c r="J271" s="42">
        <f t="shared" si="11"/>
        <v>12000.31</v>
      </c>
      <c r="K271" s="42">
        <f t="shared" si="11"/>
        <v>83641.06</v>
      </c>
      <c r="L271" s="42">
        <f t="shared" si="11"/>
        <v>1195336.3699999999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>
        <v>3406.61</v>
      </c>
      <c r="I276" s="18">
        <v>3644.23</v>
      </c>
      <c r="J276" s="18">
        <v>1277</v>
      </c>
      <c r="K276" s="18"/>
      <c r="L276" s="19">
        <f>SUM(F276:K276)</f>
        <v>8327.84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8234.26</v>
      </c>
      <c r="I282" s="18"/>
      <c r="J282" s="18"/>
      <c r="K282" s="18"/>
      <c r="L282" s="19">
        <f t="shared" si="12"/>
        <v>8234.26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47.97</v>
      </c>
      <c r="L285" s="19">
        <f t="shared" si="12"/>
        <v>47.97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11640.87</v>
      </c>
      <c r="I290" s="42">
        <f t="shared" si="13"/>
        <v>3644.23</v>
      </c>
      <c r="J290" s="42">
        <f t="shared" si="13"/>
        <v>1277</v>
      </c>
      <c r="K290" s="42">
        <f t="shared" si="13"/>
        <v>47.97</v>
      </c>
      <c r="L290" s="41">
        <f t="shared" si="13"/>
        <v>16610.07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11640.87</v>
      </c>
      <c r="I338" s="41">
        <f t="shared" si="20"/>
        <v>3644.23</v>
      </c>
      <c r="J338" s="41">
        <f t="shared" si="20"/>
        <v>1277</v>
      </c>
      <c r="K338" s="41">
        <f t="shared" si="20"/>
        <v>47.97</v>
      </c>
      <c r="L338" s="41">
        <f t="shared" si="20"/>
        <v>16610.07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11640.87</v>
      </c>
      <c r="I352" s="41">
        <f>I338</f>
        <v>3644.23</v>
      </c>
      <c r="J352" s="41">
        <f>J338</f>
        <v>1277</v>
      </c>
      <c r="K352" s="47">
        <f>K338+K351</f>
        <v>47.97</v>
      </c>
      <c r="L352" s="41">
        <f>L338+L351</f>
        <v>16610.07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>
        <v>1547.73</v>
      </c>
      <c r="J358" s="18"/>
      <c r="K358" s="18"/>
      <c r="L358" s="13">
        <f>SUM(F358:K358)</f>
        <v>1547.73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1547.73</v>
      </c>
      <c r="J362" s="47">
        <f t="shared" si="22"/>
        <v>0</v>
      </c>
      <c r="K362" s="47">
        <f t="shared" si="22"/>
        <v>0</v>
      </c>
      <c r="L362" s="47">
        <f t="shared" si="22"/>
        <v>1547.73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1547.73</v>
      </c>
      <c r="G367" s="18"/>
      <c r="H367" s="18"/>
      <c r="I367" s="56">
        <f>SUM(F367:H367)</f>
        <v>1547.73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1547.73</v>
      </c>
      <c r="G369" s="47">
        <f>SUM(G367:G368)</f>
        <v>0</v>
      </c>
      <c r="H369" s="47">
        <f>SUM(H367:H368)</f>
        <v>0</v>
      </c>
      <c r="I369" s="47">
        <f>SUM(I367:I368)</f>
        <v>1547.73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56164.480000000003</v>
      </c>
      <c r="G465" s="18">
        <v>-899.74</v>
      </c>
      <c r="H465" s="18"/>
      <c r="I465" s="18"/>
      <c r="J465" s="18"/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1224572.27</v>
      </c>
      <c r="G468" s="18">
        <f>2447.47-65.98</f>
        <v>2381.4899999999998</v>
      </c>
      <c r="H468" s="18">
        <v>16610.07</v>
      </c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1224572.27</v>
      </c>
      <c r="G470" s="53">
        <f>SUM(G468:G469)</f>
        <v>2381.4899999999998</v>
      </c>
      <c r="H470" s="53">
        <f>SUM(H468:H469)</f>
        <v>16610.07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1195336.3700000001</v>
      </c>
      <c r="G472" s="18">
        <v>1547.73</v>
      </c>
      <c r="H472" s="18">
        <v>16610.07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1195336.3700000001</v>
      </c>
      <c r="G474" s="53">
        <f>SUM(G472:G473)</f>
        <v>1547.73</v>
      </c>
      <c r="H474" s="53">
        <f>SUM(H472:H473)</f>
        <v>16610.07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85400.379999999888</v>
      </c>
      <c r="G476" s="53">
        <f>(G465+G470)- G474</f>
        <v>-65.980000000000246</v>
      </c>
      <c r="H476" s="53">
        <f>(H465+H470)- H474</f>
        <v>0</v>
      </c>
      <c r="I476" s="53">
        <f>(I465+I470)- I474</f>
        <v>0</v>
      </c>
      <c r="J476" s="53">
        <f>(J465+J470)- J474</f>
        <v>0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7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388105.5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2.97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163105.5</v>
      </c>
      <c r="G495" s="18"/>
      <c r="H495" s="18"/>
      <c r="I495" s="18"/>
      <c r="J495" s="18"/>
      <c r="K495" s="53">
        <f>SUM(F495:J495)</f>
        <v>163105.5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75000</v>
      </c>
      <c r="G497" s="18"/>
      <c r="H497" s="18"/>
      <c r="I497" s="18"/>
      <c r="J497" s="18"/>
      <c r="K497" s="53">
        <f t="shared" si="35"/>
        <v>75000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88105.5</v>
      </c>
      <c r="G498" s="204"/>
      <c r="H498" s="204"/>
      <c r="I498" s="204"/>
      <c r="J498" s="204"/>
      <c r="K498" s="205">
        <f t="shared" si="35"/>
        <v>88105.5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1687.91</v>
      </c>
      <c r="G499" s="18"/>
      <c r="H499" s="18"/>
      <c r="I499" s="18"/>
      <c r="J499" s="18"/>
      <c r="K499" s="53">
        <f t="shared" si="35"/>
        <v>1687.91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89793.41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89793.41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88105.5</v>
      </c>
      <c r="G501" s="204"/>
      <c r="H501" s="204"/>
      <c r="I501" s="204"/>
      <c r="J501" s="204"/>
      <c r="K501" s="205">
        <f t="shared" si="35"/>
        <v>88105.5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1687.91</v>
      </c>
      <c r="G502" s="18"/>
      <c r="H502" s="18"/>
      <c r="I502" s="18"/>
      <c r="J502" s="18"/>
      <c r="K502" s="53">
        <f t="shared" si="35"/>
        <v>1687.91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89793.41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89793.41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21967.83</v>
      </c>
      <c r="G521" s="18">
        <v>15549.65</v>
      </c>
      <c r="H521" s="18">
        <v>6974.45</v>
      </c>
      <c r="I521" s="18">
        <v>409.54</v>
      </c>
      <c r="J521" s="18">
        <v>205.14</v>
      </c>
      <c r="K521" s="18">
        <v>204</v>
      </c>
      <c r="L521" s="88">
        <f>SUM(F521:K521)</f>
        <v>45310.61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40899.440000000002</v>
      </c>
      <c r="I523" s="18"/>
      <c r="J523" s="18"/>
      <c r="K523" s="18"/>
      <c r="L523" s="88">
        <f>SUM(F523:K523)</f>
        <v>40899.440000000002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21967.83</v>
      </c>
      <c r="G524" s="108">
        <f t="shared" ref="G524:L524" si="36">SUM(G521:G523)</f>
        <v>15549.65</v>
      </c>
      <c r="H524" s="108">
        <f t="shared" si="36"/>
        <v>47873.89</v>
      </c>
      <c r="I524" s="108">
        <f t="shared" si="36"/>
        <v>409.54</v>
      </c>
      <c r="J524" s="108">
        <f t="shared" si="36"/>
        <v>205.14</v>
      </c>
      <c r="K524" s="108">
        <f t="shared" si="36"/>
        <v>204</v>
      </c>
      <c r="L524" s="89">
        <f t="shared" si="36"/>
        <v>86210.05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1529.2</v>
      </c>
      <c r="G526" s="18">
        <v>244.27</v>
      </c>
      <c r="H526" s="18">
        <v>17484.79</v>
      </c>
      <c r="I526" s="18">
        <v>138.80000000000001</v>
      </c>
      <c r="J526" s="18"/>
      <c r="K526" s="18">
        <v>33.799999999999997</v>
      </c>
      <c r="L526" s="88">
        <f>SUM(F526:K526)</f>
        <v>19430.86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1529.2</v>
      </c>
      <c r="G529" s="89">
        <f t="shared" ref="G529:L529" si="37">SUM(G526:G528)</f>
        <v>244.27</v>
      </c>
      <c r="H529" s="89">
        <f t="shared" si="37"/>
        <v>17484.79</v>
      </c>
      <c r="I529" s="89">
        <f t="shared" si="37"/>
        <v>138.80000000000001</v>
      </c>
      <c r="J529" s="89">
        <f t="shared" si="37"/>
        <v>0</v>
      </c>
      <c r="K529" s="89">
        <f t="shared" si="37"/>
        <v>33.799999999999997</v>
      </c>
      <c r="L529" s="89">
        <f t="shared" si="37"/>
        <v>19430.86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7864.1</v>
      </c>
      <c r="G531" s="18">
        <v>3236.96</v>
      </c>
      <c r="H531" s="18">
        <v>148.84</v>
      </c>
      <c r="I531" s="18"/>
      <c r="J531" s="18"/>
      <c r="K531" s="18"/>
      <c r="L531" s="88">
        <f>SUM(F531:K531)</f>
        <v>11249.900000000001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7864.1</v>
      </c>
      <c r="G534" s="89">
        <f t="shared" ref="G534:L534" si="38">SUM(G531:G533)</f>
        <v>3236.96</v>
      </c>
      <c r="H534" s="89">
        <f t="shared" si="38"/>
        <v>148.84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11249.900000000001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31361.130000000005</v>
      </c>
      <c r="G545" s="89">
        <f t="shared" ref="G545:L545" si="41">G524+G529+G534+G539+G544</f>
        <v>19030.88</v>
      </c>
      <c r="H545" s="89">
        <f t="shared" si="41"/>
        <v>65507.519999999997</v>
      </c>
      <c r="I545" s="89">
        <f t="shared" si="41"/>
        <v>548.34</v>
      </c>
      <c r="J545" s="89">
        <f t="shared" si="41"/>
        <v>205.14</v>
      </c>
      <c r="K545" s="89">
        <f t="shared" si="41"/>
        <v>237.8</v>
      </c>
      <c r="L545" s="89">
        <f t="shared" si="41"/>
        <v>116890.81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45310.61</v>
      </c>
      <c r="G549" s="87">
        <f>L526</f>
        <v>19430.86</v>
      </c>
      <c r="H549" s="87">
        <f>L531</f>
        <v>11249.900000000001</v>
      </c>
      <c r="I549" s="87">
        <f>L536</f>
        <v>0</v>
      </c>
      <c r="J549" s="87">
        <f>L541</f>
        <v>0</v>
      </c>
      <c r="K549" s="87">
        <f>SUM(F549:J549)</f>
        <v>75991.37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40899.440000000002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40899.440000000002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86210.05</v>
      </c>
      <c r="G552" s="89">
        <f t="shared" si="42"/>
        <v>19430.86</v>
      </c>
      <c r="H552" s="89">
        <f t="shared" si="42"/>
        <v>11249.900000000001</v>
      </c>
      <c r="I552" s="89">
        <f t="shared" si="42"/>
        <v>0</v>
      </c>
      <c r="J552" s="89">
        <f t="shared" si="42"/>
        <v>0</v>
      </c>
      <c r="K552" s="89">
        <f t="shared" si="42"/>
        <v>116890.81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183935.73</v>
      </c>
      <c r="I575" s="87">
        <f>SUM(F575:H575)</f>
        <v>183935.73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40899.440000000002</v>
      </c>
      <c r="I579" s="87">
        <f t="shared" si="47"/>
        <v>40899.440000000002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/>
      <c r="J591" s="18"/>
      <c r="K591" s="104">
        <f t="shared" ref="K591:K597" si="48">SUM(H591:J591)</f>
        <v>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5020</v>
      </c>
      <c r="I595" s="18"/>
      <c r="J595" s="18"/>
      <c r="K595" s="104">
        <f t="shared" si="48"/>
        <v>5020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5020</v>
      </c>
      <c r="I598" s="108">
        <f>SUM(I591:I597)</f>
        <v>0</v>
      </c>
      <c r="J598" s="108">
        <f>SUM(J591:J597)</f>
        <v>0</v>
      </c>
      <c r="K598" s="108">
        <f>SUM(K591:K597)</f>
        <v>5020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13277.31</v>
      </c>
      <c r="I604" s="18"/>
      <c r="J604" s="18"/>
      <c r="K604" s="104">
        <f>SUM(H604:J604)</f>
        <v>13277.31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13277.31</v>
      </c>
      <c r="I605" s="108">
        <f>SUM(I602:I604)</f>
        <v>0</v>
      </c>
      <c r="J605" s="108">
        <f>SUM(J602:J604)</f>
        <v>0</v>
      </c>
      <c r="K605" s="108">
        <f>SUM(K602:K604)</f>
        <v>13277.31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1658.75</v>
      </c>
      <c r="G611" s="18">
        <v>227.28</v>
      </c>
      <c r="H611" s="18"/>
      <c r="I611" s="18"/>
      <c r="J611" s="18"/>
      <c r="K611" s="18"/>
      <c r="L611" s="88">
        <f>SUM(F611:K611)</f>
        <v>1886.03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1658.75</v>
      </c>
      <c r="G614" s="108">
        <f t="shared" si="49"/>
        <v>227.28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1886.03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109992.99</v>
      </c>
      <c r="H617" s="109">
        <f>SUM(F52)</f>
        <v>109992.99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-65.97999999999999</v>
      </c>
      <c r="H618" s="109">
        <f>SUM(G52)</f>
        <v>-65.98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456.61999999999989</v>
      </c>
      <c r="H619" s="109">
        <f>SUM(H52)</f>
        <v>456.62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0</v>
      </c>
      <c r="H621" s="109">
        <f>SUM(J52)</f>
        <v>0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85400.38</v>
      </c>
      <c r="H622" s="109">
        <f>F476</f>
        <v>85400.379999999888</v>
      </c>
      <c r="I622" s="121" t="s">
        <v>101</v>
      </c>
      <c r="J622" s="109">
        <f t="shared" ref="J622:J655" si="50">G622-H622</f>
        <v>1.1641532182693481E-10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-65.98</v>
      </c>
      <c r="H623" s="109">
        <f>G476</f>
        <v>-65.980000000000246</v>
      </c>
      <c r="I623" s="121" t="s">
        <v>102</v>
      </c>
      <c r="J623" s="109">
        <f t="shared" si="50"/>
        <v>2.4158453015843406E-13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1224572.27</v>
      </c>
      <c r="H627" s="104">
        <f>SUM(F468)</f>
        <v>1224572.27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2381.4899999999998</v>
      </c>
      <c r="H628" s="104">
        <f>SUM(G468)</f>
        <v>2381.4899999999998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16610.07</v>
      </c>
      <c r="H629" s="104">
        <f>SUM(H468)</f>
        <v>16610.07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1195336.3699999999</v>
      </c>
      <c r="H632" s="104">
        <f>SUM(F472)</f>
        <v>1195336.3700000001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16610.07</v>
      </c>
      <c r="H633" s="104">
        <f>SUM(H472)</f>
        <v>16610.07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1547.73</v>
      </c>
      <c r="H634" s="104">
        <f>I369</f>
        <v>1547.73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1547.73</v>
      </c>
      <c r="H635" s="104">
        <f>SUM(G472)</f>
        <v>1547.73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5020</v>
      </c>
      <c r="H647" s="104">
        <f>L208+L226+L244</f>
        <v>5020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13277.31</v>
      </c>
      <c r="H648" s="104">
        <f>(J257+J338)-(J255+J336)</f>
        <v>13277.31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5020</v>
      </c>
      <c r="H649" s="104">
        <f>H598</f>
        <v>5020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952.03</v>
      </c>
      <c r="H652" s="104">
        <f>K263+K345</f>
        <v>952.03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909036.45999999985</v>
      </c>
      <c r="G660" s="19">
        <f>(L229+L309+L359)</f>
        <v>0</v>
      </c>
      <c r="H660" s="19">
        <f>(L247+L328+L360)</f>
        <v>224835.17</v>
      </c>
      <c r="I660" s="19">
        <f>SUM(F660:H660)</f>
        <v>1133871.6299999999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1245.0899999999999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1245.0899999999999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5020</v>
      </c>
      <c r="G662" s="19">
        <f>(L226+L306)-(J226+J306)</f>
        <v>0</v>
      </c>
      <c r="H662" s="19">
        <f>(L244+L325)-(J244+J325)</f>
        <v>0</v>
      </c>
      <c r="I662" s="19">
        <f>SUM(F662:H662)</f>
        <v>5020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15163.34</v>
      </c>
      <c r="G663" s="199">
        <f>SUM(G575:G587)+SUM(I602:I604)+L612</f>
        <v>0</v>
      </c>
      <c r="H663" s="199">
        <f>SUM(H575:H587)+SUM(J602:J604)+L613</f>
        <v>224835.17</v>
      </c>
      <c r="I663" s="19">
        <f>SUM(F663:H663)</f>
        <v>239998.51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887608.0299999998</v>
      </c>
      <c r="G664" s="19">
        <f>G660-SUM(G661:G663)</f>
        <v>0</v>
      </c>
      <c r="H664" s="19">
        <f>H660-SUM(H661:H663)</f>
        <v>0</v>
      </c>
      <c r="I664" s="19">
        <f>I660-SUM(I661:I663)</f>
        <v>887608.02999999991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30.31</v>
      </c>
      <c r="G665" s="248"/>
      <c r="H665" s="248"/>
      <c r="I665" s="19">
        <f>SUM(F665:H665)</f>
        <v>30.31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29284.33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29284.33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29284.33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29284.33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WATERVILLE VALLEY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247617.81</v>
      </c>
      <c r="C9" s="229">
        <f>'DOE25'!G197+'DOE25'!G215+'DOE25'!G233+'DOE25'!G276+'DOE25'!G295+'DOE25'!G314</f>
        <v>83293.75</v>
      </c>
    </row>
    <row r="10" spans="1:3" x14ac:dyDescent="0.2">
      <c r="A10" t="s">
        <v>779</v>
      </c>
      <c r="B10" s="240">
        <v>241317.81</v>
      </c>
      <c r="C10" s="240">
        <v>82622.47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6300</v>
      </c>
      <c r="C12" s="240">
        <v>671.28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247617.81</v>
      </c>
      <c r="C13" s="231">
        <f>SUM(C10:C12)</f>
        <v>83293.75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21967.83</v>
      </c>
      <c r="C18" s="229">
        <f>'DOE25'!G198+'DOE25'!G216+'DOE25'!G234+'DOE25'!G277+'DOE25'!G296+'DOE25'!G315</f>
        <v>15549.65</v>
      </c>
    </row>
    <row r="19" spans="1:3" x14ac:dyDescent="0.2">
      <c r="A19" t="s">
        <v>779</v>
      </c>
      <c r="B19" s="240">
        <v>20549.080000000002</v>
      </c>
      <c r="C19" s="240">
        <v>15400.2</v>
      </c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>
        <v>1418.75</v>
      </c>
      <c r="C21" s="240">
        <v>149.44999999999999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21967.83</v>
      </c>
      <c r="C22" s="231">
        <f>SUM(C19:C21)</f>
        <v>15549.650000000001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2048.36</v>
      </c>
      <c r="C36" s="235">
        <f>'DOE25'!G200+'DOE25'!G218+'DOE25'!G236+'DOE25'!G279+'DOE25'!G298+'DOE25'!G317</f>
        <v>347.95</v>
      </c>
    </row>
    <row r="37" spans="1:3" x14ac:dyDescent="0.2">
      <c r="A37" t="s">
        <v>779</v>
      </c>
      <c r="B37" s="240">
        <v>2048.36</v>
      </c>
      <c r="C37" s="240">
        <v>347.95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2048.36</v>
      </c>
      <c r="C40" s="231">
        <f>SUM(C37:C39)</f>
        <v>347.95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WATERVILLE VALLEY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629653.62</v>
      </c>
      <c r="D5" s="20">
        <f>SUM('DOE25'!L197:L200)+SUM('DOE25'!L215:L218)+SUM('DOE25'!L233:L236)-F5-G5</f>
        <v>628569.27</v>
      </c>
      <c r="E5" s="243"/>
      <c r="F5" s="255">
        <f>SUM('DOE25'!J197:J200)+SUM('DOE25'!J215:J218)+SUM('DOE25'!J233:J236)</f>
        <v>575.34999999999991</v>
      </c>
      <c r="G5" s="53">
        <f>SUM('DOE25'!K197:K200)+SUM('DOE25'!K215:K218)+SUM('DOE25'!K233:K236)</f>
        <v>509</v>
      </c>
      <c r="H5" s="259"/>
    </row>
    <row r="6" spans="1:9" x14ac:dyDescent="0.2">
      <c r="A6" s="32">
        <v>2100</v>
      </c>
      <c r="B6" t="s">
        <v>801</v>
      </c>
      <c r="C6" s="245">
        <f t="shared" si="0"/>
        <v>30115.140000000003</v>
      </c>
      <c r="D6" s="20">
        <f>'DOE25'!L202+'DOE25'!L220+'DOE25'!L238-F6-G6</f>
        <v>29946.140000000003</v>
      </c>
      <c r="E6" s="243"/>
      <c r="F6" s="255">
        <f>'DOE25'!J202+'DOE25'!J220+'DOE25'!J238</f>
        <v>0</v>
      </c>
      <c r="G6" s="53">
        <f>'DOE25'!K202+'DOE25'!K220+'DOE25'!K238</f>
        <v>169</v>
      </c>
      <c r="H6" s="259"/>
    </row>
    <row r="7" spans="1:9" x14ac:dyDescent="0.2">
      <c r="A7" s="32">
        <v>2200</v>
      </c>
      <c r="B7" t="s">
        <v>834</v>
      </c>
      <c r="C7" s="245">
        <f t="shared" si="0"/>
        <v>20779.16</v>
      </c>
      <c r="D7" s="20">
        <f>'DOE25'!L203+'DOE25'!L221+'DOE25'!L239-F7-G7</f>
        <v>20414.95</v>
      </c>
      <c r="E7" s="243"/>
      <c r="F7" s="255">
        <f>'DOE25'!J203+'DOE25'!J221+'DOE25'!J239</f>
        <v>364.21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61746.099999999991</v>
      </c>
      <c r="D8" s="243"/>
      <c r="E8" s="20">
        <f>'DOE25'!L204+'DOE25'!L222+'DOE25'!L240-F8-G8-D9-D11</f>
        <v>59389.579999999994</v>
      </c>
      <c r="F8" s="255">
        <f>'DOE25'!J204+'DOE25'!J222+'DOE25'!J240</f>
        <v>0</v>
      </c>
      <c r="G8" s="53">
        <f>'DOE25'!K204+'DOE25'!K222+'DOE25'!K240</f>
        <v>2356.52</v>
      </c>
      <c r="H8" s="259"/>
    </row>
    <row r="9" spans="1:9" x14ac:dyDescent="0.2">
      <c r="A9" s="32">
        <v>2310</v>
      </c>
      <c r="B9" t="s">
        <v>818</v>
      </c>
      <c r="C9" s="245">
        <f t="shared" si="0"/>
        <v>6368.08</v>
      </c>
      <c r="D9" s="244">
        <v>6368.08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2044.5</v>
      </c>
      <c r="D10" s="243"/>
      <c r="E10" s="244">
        <v>2044.5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36162.400000000001</v>
      </c>
      <c r="D11" s="244">
        <v>36162.400000000001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173867.99000000002</v>
      </c>
      <c r="D12" s="20">
        <f>'DOE25'!L205+'DOE25'!L223+'DOE25'!L241-F12-G12</f>
        <v>172883.99000000002</v>
      </c>
      <c r="E12" s="243"/>
      <c r="F12" s="255">
        <f>'DOE25'!J205+'DOE25'!J223+'DOE25'!J241</f>
        <v>0</v>
      </c>
      <c r="G12" s="53">
        <f>'DOE25'!K205+'DOE25'!K223+'DOE25'!K241</f>
        <v>984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152001.34</v>
      </c>
      <c r="D14" s="20">
        <f>'DOE25'!L207+'DOE25'!L225+'DOE25'!L243-F14-G14</f>
        <v>140940.59</v>
      </c>
      <c r="E14" s="243"/>
      <c r="F14" s="255">
        <f>'DOE25'!J207+'DOE25'!J225+'DOE25'!J243</f>
        <v>11060.75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5020</v>
      </c>
      <c r="D15" s="20">
        <f>'DOE25'!L208+'DOE25'!L226+'DOE25'!L244-F15-G15</f>
        <v>5020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78670.509999999995</v>
      </c>
      <c r="D25" s="243"/>
      <c r="E25" s="243"/>
      <c r="F25" s="258"/>
      <c r="G25" s="256"/>
      <c r="H25" s="257">
        <f>'DOE25'!L260+'DOE25'!L261+'DOE25'!L341+'DOE25'!L342</f>
        <v>78670.509999999995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16610.07</v>
      </c>
      <c r="D31" s="20">
        <f>'DOE25'!L290+'DOE25'!L309+'DOE25'!L328+'DOE25'!L333+'DOE25'!L334+'DOE25'!L335-F31-G31</f>
        <v>15285.1</v>
      </c>
      <c r="E31" s="243"/>
      <c r="F31" s="255">
        <f>'DOE25'!J290+'DOE25'!J309+'DOE25'!J328+'DOE25'!J333+'DOE25'!J334+'DOE25'!J335</f>
        <v>1277</v>
      </c>
      <c r="G31" s="53">
        <f>'DOE25'!K290+'DOE25'!K309+'DOE25'!K328+'DOE25'!K333+'DOE25'!K334+'DOE25'!K335</f>
        <v>47.97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1055590.52</v>
      </c>
      <c r="E33" s="246">
        <f>SUM(E5:E31)</f>
        <v>61434.079999999994</v>
      </c>
      <c r="F33" s="246">
        <f>SUM(F5:F31)</f>
        <v>13277.31</v>
      </c>
      <c r="G33" s="246">
        <f>SUM(G5:G31)</f>
        <v>4066.49</v>
      </c>
      <c r="H33" s="246">
        <f>SUM(H5:H31)</f>
        <v>78670.509999999995</v>
      </c>
    </row>
    <row r="35" spans="2:8" ht="12" thickBot="1" x14ac:dyDescent="0.25">
      <c r="B35" s="253" t="s">
        <v>847</v>
      </c>
      <c r="D35" s="254">
        <f>E33</f>
        <v>61434.079999999994</v>
      </c>
      <c r="E35" s="249"/>
    </row>
    <row r="36" spans="2:8" ht="12" thickTop="1" x14ac:dyDescent="0.2">
      <c r="B36" t="s">
        <v>815</v>
      </c>
      <c r="D36" s="20">
        <f>D33</f>
        <v>1055590.52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04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WATERVILLE VALLEY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90350.22</v>
      </c>
      <c r="D8" s="95">
        <f>'DOE25'!G9</f>
        <v>-119.63</v>
      </c>
      <c r="E8" s="95">
        <f>'DOE25'!H9</f>
        <v>-3033.02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4642.7700000000004</v>
      </c>
      <c r="D12" s="95">
        <f>'DOE25'!G13</f>
        <v>53.65</v>
      </c>
      <c r="E12" s="95">
        <f>'DOE25'!H13</f>
        <v>3489.64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15000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109992.99</v>
      </c>
      <c r="D18" s="41">
        <f>SUM(D8:D17)</f>
        <v>-65.97999999999999</v>
      </c>
      <c r="E18" s="41">
        <f>SUM(E8:E17)</f>
        <v>456.61999999999989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6592.61</v>
      </c>
      <c r="D23" s="95">
        <f>'DOE25'!G24</f>
        <v>0</v>
      </c>
      <c r="E23" s="95">
        <f>'DOE25'!H24</f>
        <v>456.62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18000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24592.61</v>
      </c>
      <c r="D31" s="41">
        <f>SUM(D21:D30)</f>
        <v>0</v>
      </c>
      <c r="E31" s="41">
        <f>SUM(E21:E30)</f>
        <v>456.62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-65.98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52762.27</v>
      </c>
      <c r="D44" s="95">
        <f>'DOE25'!G45</f>
        <v>0</v>
      </c>
      <c r="E44" s="95">
        <f>'DOE25'!H45</f>
        <v>7144.05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-7144.05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32638.11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85400.38</v>
      </c>
      <c r="D50" s="41">
        <f>SUM(D34:D49)</f>
        <v>-65.98</v>
      </c>
      <c r="E50" s="41">
        <f>SUM(E34:E49)</f>
        <v>0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109992.99</v>
      </c>
      <c r="D51" s="41">
        <f>D50+D31</f>
        <v>-65.98</v>
      </c>
      <c r="E51" s="41">
        <f>E50+E31</f>
        <v>456.62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311527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25154.240000000002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50.86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1245.0899999999999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2051.5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27256.600000000002</v>
      </c>
      <c r="D62" s="130">
        <f>SUM(D57:D61)</f>
        <v>1245.0899999999999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338783.6</v>
      </c>
      <c r="D63" s="22">
        <f>D56+D62</f>
        <v>1245.0899999999999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859043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859043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859043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4642.7700000000004</v>
      </c>
      <c r="D88" s="95">
        <f>SUM('DOE25'!G153:G161)</f>
        <v>184.37</v>
      </c>
      <c r="E88" s="95">
        <f>SUM('DOE25'!H153:H161)</f>
        <v>16610.07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22102.9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26745.670000000002</v>
      </c>
      <c r="D91" s="131">
        <f>SUM(D85:D90)</f>
        <v>184.37</v>
      </c>
      <c r="E91" s="131">
        <f>SUM(E85:E90)</f>
        <v>16610.07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952.03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952.03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1224572.27</v>
      </c>
      <c r="D104" s="86">
        <f>D63+D81+D91+D103</f>
        <v>2381.4899999999998</v>
      </c>
      <c r="E104" s="86">
        <f>E63+E81+E91+E103</f>
        <v>16610.07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538909.39</v>
      </c>
      <c r="D109" s="24" t="s">
        <v>289</v>
      </c>
      <c r="E109" s="95">
        <f>('DOE25'!L276)+('DOE25'!L295)+('DOE25'!L314)</f>
        <v>8327.84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86210.05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4534.18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629653.62000000011</v>
      </c>
      <c r="D115" s="86">
        <f>SUM(D109:D114)</f>
        <v>0</v>
      </c>
      <c r="E115" s="86">
        <f>SUM(E109:E114)</f>
        <v>8327.84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30115.140000000003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20779.16</v>
      </c>
      <c r="D119" s="24" t="s">
        <v>289</v>
      </c>
      <c r="E119" s="95">
        <f>+('DOE25'!L282)+('DOE25'!L301)+('DOE25'!L320)</f>
        <v>8234.26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104276.58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173867.99000000002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47.97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152001.34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5020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1547.73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486060.20999999996</v>
      </c>
      <c r="D128" s="86">
        <f>SUM(D118:D127)</f>
        <v>1547.73</v>
      </c>
      <c r="E128" s="86">
        <f>SUM(E118:E127)</f>
        <v>8282.23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3670.51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952.03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79622.539999999994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1195336.3700000001</v>
      </c>
      <c r="D145" s="86">
        <f>(D115+D128+D144)</f>
        <v>1547.73</v>
      </c>
      <c r="E145" s="86">
        <f>(E115+E128+E144)</f>
        <v>16610.07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7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01/11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388105.5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2.97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163105.5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163105.5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75000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75000</v>
      </c>
    </row>
    <row r="159" spans="1:9" x14ac:dyDescent="0.2">
      <c r="A159" s="22" t="s">
        <v>35</v>
      </c>
      <c r="B159" s="137">
        <f>'DOE25'!F498</f>
        <v>88105.5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88105.5</v>
      </c>
    </row>
    <row r="160" spans="1:9" x14ac:dyDescent="0.2">
      <c r="A160" s="22" t="s">
        <v>36</v>
      </c>
      <c r="B160" s="137">
        <f>'DOE25'!F499</f>
        <v>1687.91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1687.91</v>
      </c>
    </row>
    <row r="161" spans="1:7" x14ac:dyDescent="0.2">
      <c r="A161" s="22" t="s">
        <v>37</v>
      </c>
      <c r="B161" s="137">
        <f>'DOE25'!F500</f>
        <v>89793.41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89793.41</v>
      </c>
    </row>
    <row r="162" spans="1:7" x14ac:dyDescent="0.2">
      <c r="A162" s="22" t="s">
        <v>38</v>
      </c>
      <c r="B162" s="137">
        <f>'DOE25'!F501</f>
        <v>88105.5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88105.5</v>
      </c>
    </row>
    <row r="163" spans="1:7" x14ac:dyDescent="0.2">
      <c r="A163" s="22" t="s">
        <v>39</v>
      </c>
      <c r="B163" s="137">
        <f>'DOE25'!F502</f>
        <v>1687.91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1687.91</v>
      </c>
    </row>
    <row r="164" spans="1:7" x14ac:dyDescent="0.2">
      <c r="A164" s="22" t="s">
        <v>246</v>
      </c>
      <c r="B164" s="137">
        <f>'DOE25'!F503</f>
        <v>89793.41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89793.41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WATERVILLE VALLEY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29284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29284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547237</v>
      </c>
      <c r="D10" s="182">
        <f>ROUND((C10/$C$28)*100,1)</f>
        <v>48.2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86210</v>
      </c>
      <c r="D11" s="182">
        <f>ROUND((C11/$C$28)*100,1)</f>
        <v>7.6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4534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30115</v>
      </c>
      <c r="D15" s="182">
        <f t="shared" ref="D15:D27" si="0">ROUND((C15/$C$28)*100,1)</f>
        <v>2.7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29013</v>
      </c>
      <c r="D16" s="182">
        <f t="shared" si="0"/>
        <v>2.6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104277</v>
      </c>
      <c r="D17" s="182">
        <f t="shared" si="0"/>
        <v>9.1999999999999993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173868</v>
      </c>
      <c r="D18" s="182">
        <f t="shared" si="0"/>
        <v>15.3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48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152001</v>
      </c>
      <c r="D20" s="182">
        <f t="shared" si="0"/>
        <v>13.4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5020</v>
      </c>
      <c r="D21" s="182">
        <f t="shared" si="0"/>
        <v>0.4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3671</v>
      </c>
      <c r="D25" s="182">
        <f t="shared" si="0"/>
        <v>0.3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302.91000000000008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1136296.9099999999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1136296.9099999999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75000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311527</v>
      </c>
      <c r="D35" s="182">
        <f t="shared" ref="D35:D40" si="1">ROUND((C35/$C$41)*100,1)</f>
        <v>25.1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27256.599999999977</v>
      </c>
      <c r="D36" s="182">
        <f t="shared" si="1"/>
        <v>2.2000000000000002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859043</v>
      </c>
      <c r="D37" s="182">
        <f t="shared" si="1"/>
        <v>69.2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43540</v>
      </c>
      <c r="D39" s="182">
        <f t="shared" si="1"/>
        <v>3.5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1241366.6000000001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WATERVILLE VALLEY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2015-09-11T16:23:20Z</cp:lastPrinted>
  <dcterms:created xsi:type="dcterms:W3CDTF">1997-12-04T19:04:30Z</dcterms:created>
  <dcterms:modified xsi:type="dcterms:W3CDTF">2015-09-11T16:31:35Z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