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105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2" i="12" l="1"/>
  <c r="H282" i="1"/>
  <c r="G282" i="1"/>
  <c r="I215" i="1"/>
  <c r="F469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I162" i="1"/>
  <c r="L250" i="1"/>
  <c r="L332" i="1"/>
  <c r="E113" i="2" s="1"/>
  <c r="L254" i="1"/>
  <c r="L268" i="1"/>
  <c r="L269" i="1"/>
  <c r="L349" i="1"/>
  <c r="E142" i="2" s="1"/>
  <c r="L350" i="1"/>
  <c r="I665" i="1"/>
  <c r="I670" i="1"/>
  <c r="L247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C114" i="2"/>
  <c r="D115" i="2"/>
  <c r="F115" i="2"/>
  <c r="G115" i="2"/>
  <c r="C119" i="2"/>
  <c r="F128" i="2"/>
  <c r="G128" i="2"/>
  <c r="C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H461" i="1" s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G643" i="1"/>
  <c r="G644" i="1"/>
  <c r="G651" i="1"/>
  <c r="G652" i="1"/>
  <c r="H652" i="1"/>
  <c r="G653" i="1"/>
  <c r="H653" i="1"/>
  <c r="G654" i="1"/>
  <c r="H654" i="1"/>
  <c r="H655" i="1"/>
  <c r="L328" i="1"/>
  <c r="H660" i="1" s="1"/>
  <c r="D12" i="13"/>
  <c r="C12" i="13" s="1"/>
  <c r="D18" i="13"/>
  <c r="C18" i="13" s="1"/>
  <c r="D17" i="13"/>
  <c r="C17" i="13" s="1"/>
  <c r="E8" i="13"/>
  <c r="C8" i="13" s="1"/>
  <c r="D19" i="13"/>
  <c r="C19" i="13" s="1"/>
  <c r="I476" i="1"/>
  <c r="H625" i="1" s="1"/>
  <c r="J140" i="1"/>
  <c r="H140" i="1"/>
  <c r="F22" i="13"/>
  <c r="C22" i="13" s="1"/>
  <c r="J651" i="1"/>
  <c r="C35" i="10"/>
  <c r="G36" i="2"/>
  <c r="K503" i="1" l="1"/>
  <c r="L560" i="1"/>
  <c r="K551" i="1"/>
  <c r="C29" i="10"/>
  <c r="F408" i="1"/>
  <c r="H643" i="1" s="1"/>
  <c r="J643" i="1" s="1"/>
  <c r="G161" i="2"/>
  <c r="I545" i="1"/>
  <c r="J476" i="1"/>
  <c r="H626" i="1" s="1"/>
  <c r="G461" i="1"/>
  <c r="H640" i="1" s="1"/>
  <c r="F461" i="1"/>
  <c r="H639" i="1" s="1"/>
  <c r="F661" i="1"/>
  <c r="C26" i="10"/>
  <c r="L534" i="1"/>
  <c r="F192" i="1"/>
  <c r="G164" i="2"/>
  <c r="G157" i="2"/>
  <c r="G156" i="2"/>
  <c r="J641" i="1"/>
  <c r="L382" i="1"/>
  <c r="G636" i="1" s="1"/>
  <c r="J640" i="1"/>
  <c r="J639" i="1"/>
  <c r="L433" i="1"/>
  <c r="L419" i="1"/>
  <c r="H112" i="1"/>
  <c r="E122" i="2"/>
  <c r="E109" i="2"/>
  <c r="H571" i="1"/>
  <c r="L270" i="1"/>
  <c r="E121" i="2"/>
  <c r="C18" i="2"/>
  <c r="H476" i="1"/>
  <c r="H624" i="1" s="1"/>
  <c r="G408" i="1"/>
  <c r="H645" i="1" s="1"/>
  <c r="J636" i="1"/>
  <c r="K338" i="1"/>
  <c r="K352" i="1" s="1"/>
  <c r="D50" i="2"/>
  <c r="E118" i="2"/>
  <c r="J649" i="1"/>
  <c r="C111" i="2"/>
  <c r="K257" i="1"/>
  <c r="K271" i="1" s="1"/>
  <c r="L570" i="1"/>
  <c r="G476" i="1"/>
  <c r="H623" i="1" s="1"/>
  <c r="J623" i="1" s="1"/>
  <c r="L256" i="1"/>
  <c r="J257" i="1"/>
  <c r="J271" i="1" s="1"/>
  <c r="G192" i="1"/>
  <c r="J552" i="1"/>
  <c r="K549" i="1"/>
  <c r="E125" i="2"/>
  <c r="E112" i="2"/>
  <c r="C110" i="2"/>
  <c r="C120" i="2"/>
  <c r="J655" i="1"/>
  <c r="G545" i="1"/>
  <c r="J571" i="1"/>
  <c r="F571" i="1"/>
  <c r="L565" i="1"/>
  <c r="L571" i="1" s="1"/>
  <c r="K545" i="1"/>
  <c r="F476" i="1"/>
  <c r="H622" i="1" s="1"/>
  <c r="J622" i="1" s="1"/>
  <c r="I460" i="1"/>
  <c r="L427" i="1"/>
  <c r="I257" i="1"/>
  <c r="I271" i="1" s="1"/>
  <c r="E103" i="2"/>
  <c r="G81" i="2"/>
  <c r="C70" i="2"/>
  <c r="C132" i="2"/>
  <c r="G552" i="1"/>
  <c r="A13" i="12"/>
  <c r="A40" i="12"/>
  <c r="E114" i="2"/>
  <c r="E124" i="2"/>
  <c r="E111" i="2"/>
  <c r="K605" i="1"/>
  <c r="G648" i="1" s="1"/>
  <c r="K598" i="1"/>
  <c r="G647" i="1" s="1"/>
  <c r="I571" i="1"/>
  <c r="L529" i="1"/>
  <c r="J545" i="1"/>
  <c r="K500" i="1"/>
  <c r="H408" i="1"/>
  <c r="H644" i="1" s="1"/>
  <c r="J644" i="1" s="1"/>
  <c r="F78" i="2"/>
  <c r="F81" i="2" s="1"/>
  <c r="I552" i="1"/>
  <c r="L351" i="1"/>
  <c r="I169" i="1"/>
  <c r="F112" i="1"/>
  <c r="G62" i="2"/>
  <c r="G63" i="2" s="1"/>
  <c r="L393" i="1"/>
  <c r="C138" i="2" s="1"/>
  <c r="E16" i="13"/>
  <c r="C16" i="13" s="1"/>
  <c r="L614" i="1"/>
  <c r="K571" i="1"/>
  <c r="L544" i="1"/>
  <c r="L539" i="1"/>
  <c r="K550" i="1"/>
  <c r="K552" i="1" s="1"/>
  <c r="H545" i="1"/>
  <c r="F552" i="1"/>
  <c r="L524" i="1"/>
  <c r="L401" i="1"/>
  <c r="C139" i="2" s="1"/>
  <c r="I452" i="1"/>
  <c r="I446" i="1"/>
  <c r="G642" i="1" s="1"/>
  <c r="I369" i="1"/>
  <c r="H634" i="1" s="1"/>
  <c r="J634" i="1" s="1"/>
  <c r="L290" i="1"/>
  <c r="D29" i="13"/>
  <c r="C29" i="13" s="1"/>
  <c r="G661" i="1"/>
  <c r="D127" i="2"/>
  <c r="D128" i="2" s="1"/>
  <c r="D145" i="2" s="1"/>
  <c r="H661" i="1"/>
  <c r="H664" i="1" s="1"/>
  <c r="H672" i="1" s="1"/>
  <c r="C6" i="10" s="1"/>
  <c r="L362" i="1"/>
  <c r="G635" i="1" s="1"/>
  <c r="J635" i="1" s="1"/>
  <c r="H338" i="1"/>
  <c r="H352" i="1" s="1"/>
  <c r="C18" i="10"/>
  <c r="E120" i="2"/>
  <c r="L309" i="1"/>
  <c r="G338" i="1"/>
  <c r="G352" i="1" s="1"/>
  <c r="E123" i="2"/>
  <c r="C20" i="10"/>
  <c r="E119" i="2"/>
  <c r="F338" i="1"/>
  <c r="F352" i="1" s="1"/>
  <c r="J338" i="1"/>
  <c r="J352" i="1" s="1"/>
  <c r="C13" i="10"/>
  <c r="E110" i="2"/>
  <c r="H25" i="13"/>
  <c r="H257" i="1"/>
  <c r="H271" i="1" s="1"/>
  <c r="G662" i="1"/>
  <c r="G257" i="1"/>
  <c r="G271" i="1" s="1"/>
  <c r="L229" i="1"/>
  <c r="C19" i="10"/>
  <c r="F257" i="1"/>
  <c r="F271" i="1" s="1"/>
  <c r="A31" i="12"/>
  <c r="E13" i="13"/>
  <c r="C13" i="13" s="1"/>
  <c r="D7" i="13"/>
  <c r="C7" i="13" s="1"/>
  <c r="D6" i="13"/>
  <c r="C6" i="13" s="1"/>
  <c r="D14" i="13"/>
  <c r="C14" i="13" s="1"/>
  <c r="D15" i="13"/>
  <c r="C15" i="13" s="1"/>
  <c r="C124" i="2"/>
  <c r="C123" i="2"/>
  <c r="C122" i="2"/>
  <c r="C118" i="2"/>
  <c r="C112" i="2"/>
  <c r="C11" i="10"/>
  <c r="D5" i="13"/>
  <c r="C5" i="13" s="1"/>
  <c r="C17" i="10"/>
  <c r="C125" i="2"/>
  <c r="F662" i="1"/>
  <c r="C21" i="10"/>
  <c r="H647" i="1"/>
  <c r="J647" i="1" s="1"/>
  <c r="C16" i="10"/>
  <c r="C15" i="10"/>
  <c r="L211" i="1"/>
  <c r="C12" i="10"/>
  <c r="C109" i="2"/>
  <c r="C10" i="10"/>
  <c r="J625" i="1"/>
  <c r="I52" i="1"/>
  <c r="H620" i="1" s="1"/>
  <c r="J620" i="1" s="1"/>
  <c r="F18" i="2"/>
  <c r="J624" i="1"/>
  <c r="E31" i="2"/>
  <c r="H52" i="1"/>
  <c r="H619" i="1" s="1"/>
  <c r="J619" i="1" s="1"/>
  <c r="D31" i="2"/>
  <c r="D18" i="2"/>
  <c r="J617" i="1"/>
  <c r="G645" i="1"/>
  <c r="J645" i="1" s="1"/>
  <c r="J112" i="1"/>
  <c r="J193" i="1" s="1"/>
  <c r="G646" i="1" s="1"/>
  <c r="F85" i="2"/>
  <c r="F91" i="2" s="1"/>
  <c r="H169" i="1"/>
  <c r="H193" i="1" s="1"/>
  <c r="G629" i="1" s="1"/>
  <c r="J629" i="1" s="1"/>
  <c r="E81" i="2"/>
  <c r="E57" i="2"/>
  <c r="E62" i="2" s="1"/>
  <c r="E63" i="2" s="1"/>
  <c r="D91" i="2"/>
  <c r="D81" i="2"/>
  <c r="C91" i="2"/>
  <c r="F169" i="1"/>
  <c r="C78" i="2"/>
  <c r="C58" i="2"/>
  <c r="C62" i="2" s="1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C27" i="10"/>
  <c r="I461" i="1" l="1"/>
  <c r="H642" i="1" s="1"/>
  <c r="L434" i="1"/>
  <c r="G638" i="1" s="1"/>
  <c r="J638" i="1" s="1"/>
  <c r="D51" i="2"/>
  <c r="C81" i="2"/>
  <c r="F104" i="2"/>
  <c r="E115" i="2"/>
  <c r="L545" i="1"/>
  <c r="C141" i="2"/>
  <c r="C144" i="2" s="1"/>
  <c r="L408" i="1"/>
  <c r="G637" i="1" s="1"/>
  <c r="J637" i="1" s="1"/>
  <c r="J642" i="1"/>
  <c r="D31" i="13"/>
  <c r="C31" i="13" s="1"/>
  <c r="F660" i="1"/>
  <c r="F664" i="1" s="1"/>
  <c r="F667" i="1" s="1"/>
  <c r="I661" i="1"/>
  <c r="L338" i="1"/>
  <c r="L352" i="1" s="1"/>
  <c r="G633" i="1" s="1"/>
  <c r="J633" i="1" s="1"/>
  <c r="G660" i="1"/>
  <c r="E128" i="2"/>
  <c r="H648" i="1"/>
  <c r="J648" i="1" s="1"/>
  <c r="C25" i="13"/>
  <c r="H33" i="13"/>
  <c r="I662" i="1"/>
  <c r="E33" i="13"/>
  <c r="D35" i="13" s="1"/>
  <c r="C128" i="2"/>
  <c r="C115" i="2"/>
  <c r="L257" i="1"/>
  <c r="L271" i="1" s="1"/>
  <c r="G632" i="1" s="1"/>
  <c r="J632" i="1" s="1"/>
  <c r="C28" i="10"/>
  <c r="D12" i="10" s="1"/>
  <c r="F51" i="2"/>
  <c r="E51" i="2"/>
  <c r="G104" i="2"/>
  <c r="C36" i="10"/>
  <c r="I193" i="1"/>
  <c r="G630" i="1" s="1"/>
  <c r="J630" i="1" s="1"/>
  <c r="E104" i="2"/>
  <c r="D104" i="2"/>
  <c r="H667" i="1"/>
  <c r="C39" i="10"/>
  <c r="F193" i="1"/>
  <c r="G627" i="1" s="1"/>
  <c r="J627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46" i="1"/>
  <c r="J646" i="1" s="1"/>
  <c r="I660" i="1"/>
  <c r="I664" i="1" s="1"/>
  <c r="I672" i="1" s="1"/>
  <c r="C7" i="10" s="1"/>
  <c r="D33" i="13"/>
  <c r="D36" i="13" s="1"/>
  <c r="G664" i="1"/>
  <c r="G672" i="1" s="1"/>
  <c r="C5" i="10" s="1"/>
  <c r="C145" i="2"/>
  <c r="D21" i="10"/>
  <c r="D25" i="10"/>
  <c r="D18" i="10"/>
  <c r="D15" i="10"/>
  <c r="D20" i="10"/>
  <c r="F672" i="1"/>
  <c r="C4" i="10" s="1"/>
  <c r="D24" i="10"/>
  <c r="D19" i="10"/>
  <c r="C30" i="10"/>
  <c r="D17" i="10"/>
  <c r="D11" i="10"/>
  <c r="D26" i="10"/>
  <c r="D13" i="10"/>
  <c r="D10" i="10"/>
  <c r="D23" i="10"/>
  <c r="D27" i="10"/>
  <c r="D22" i="10"/>
  <c r="D16" i="10"/>
  <c r="C41" i="10"/>
  <c r="D38" i="10" s="1"/>
  <c r="H656" i="1" l="1"/>
  <c r="G667" i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<sst xmlns="http://schemas.openxmlformats.org/spreadsheetml/2006/main" count="3962" uniqueCount="920">
  <si>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</si>
  <si>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</si>
  <si>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</si>
  <si>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</si>
  <si>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</si>
  <si>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</si>
  <si>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</si>
  <si>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</si>
  <si>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</si>
  <si>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</si>
  <si>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</si>
  <si>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</si>
  <si>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</si>
  <si>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</si>
  <si>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</si>
  <si>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</si>
  <si>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</si>
  <si>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</si>
  <si>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</si>
  <si>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</si>
  <si>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</si>
  <si>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</si>
  <si>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</si>
  <si>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</si>
  <si>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</si>
  <si>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</si>
  <si>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</si>
  <si>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</si>
  <si>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</si>
  <si>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</si>
  <si>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</si>
  <si>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</si>
  <si>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</si>
  <si>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</si>
  <si>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</si>
  <si>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</si>
  <si>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</si>
  <si>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</si>
  <si>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</si>
  <si>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</si>
  <si>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</si>
  <si>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</si>
  <si>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</si>
  <si>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</si>
  <si>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</si>
  <si>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</si>
  <si>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</si>
  <si>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</si>
  <si>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</si>
  <si>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</si>
  <si>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</si>
  <si>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</si>
  <si>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</si>
  <si>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</si>
  <si>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</si>
  <si>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</si>
  <si>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</si>
  <si>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</si>
  <si>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</si>
  <si>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</si>
  <si>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</si>
  <si>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</si>
  <si>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</si>
  <si>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</si>
  <si>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</si>
  <si>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</si>
  <si>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</si>
  <si>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</si>
  <si>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</si>
  <si>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</si>
  <si>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</si>
  <si>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</si>
  <si>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</si>
  <si>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</si>
  <si>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</si>
  <si>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</si>
  <si>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</si>
  <si>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</si>
  <si>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</si>
  <si>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</si>
  <si>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</si>
  <si>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</si>
  <si>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</si>
  <si>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</si>
  <si>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</si>
  <si>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</si>
  <si>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</si>
  <si>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</si>
  <si>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</si>
  <si>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</si>
  <si>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</si>
  <si>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</si>
  <si>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</si>
  <si>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</si>
  <si>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</si>
  <si>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</si>
  <si>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</si>
  <si>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</si>
  <si>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</si>
  <si>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</si>
  <si>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</si>
  <si>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</si>
  <si>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</si>
  <si>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</si>
  <si>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</si>
  <si>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</si>
  <si>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</si>
  <si>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</si>
  <si>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</si>
  <si>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</si>
  <si>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</si>
  <si>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</si>
  <si>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</si>
  <si>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</si>
  <si>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</si>
  <si>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</si>
  <si>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</si>
  <si>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</si>
  <si>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</si>
  <si>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</si>
  <si>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</si>
  <si>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</si>
  <si>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</si>
  <si>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</si>
  <si>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</si>
  <si>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</si>
  <si>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</si>
  <si>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</si>
  <si>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</si>
  <si>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</si>
  <si>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</si>
  <si>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</si>
  <si>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</si>
  <si>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</si>
  <si>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</si>
  <si>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</si>
  <si>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</si>
  <si>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</si>
  <si>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</si>
  <si>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</si>
  <si>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</si>
  <si>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</si>
  <si>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</si>
  <si>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</si>
  <si>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</si>
  <si>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</si>
  <si>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</si>
  <si>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</si>
  <si>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</si>
  <si>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</si>
  <si>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</si>
  <si>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</si>
  <si>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</si>
  <si>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</si>
  <si>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</si>
  <si>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</si>
  <si>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</si>
  <si>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</si>
  <si>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</si>
  <si>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</si>
  <si>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</si>
  <si>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</si>
  <si>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</si>
  <si>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</si>
  <si>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</si>
  <si>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</si>
  <si>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</si>
  <si>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</si>
  <si>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</si>
  <si>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</si>
  <si>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</si>
  <si>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</si>
  <si>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</si>
  <si>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</si>
  <si>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</si>
  <si>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</si>
  <si>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</si>
  <si>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</si>
  <si>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</si>
  <si>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</si>
  <si>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</si>
  <si>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</si>
  <si>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</si>
  <si>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</si>
  <si>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</si>
  <si>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</si>
  <si>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</si>
  <si>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</si>
  <si>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</si>
  <si>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</si>
  <si>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</si>
  <si>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</si>
  <si>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</si>
  <si>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</si>
  <si>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</si>
  <si>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</si>
  <si>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</si>
  <si>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</si>
  <si>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</si>
  <si>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</si>
  <si>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</si>
  <si>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</si>
  <si>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</si>
  <si>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</si>
  <si>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</si>
  <si>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</si>
  <si>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</si>
  <si>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</si>
  <si>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</si>
  <si>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</si>
  <si>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</si>
  <si>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</si>
  <si>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</si>
  <si>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</si>
  <si>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</si>
  <si>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</si>
  <si>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</si>
  <si>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</si>
  <si>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</si>
  <si>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</si>
  <si>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</si>
  <si>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</si>
  <si>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</si>
  <si>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</si>
  <si>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</si>
  <si>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</si>
  <si>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</si>
  <si>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</si>
  <si>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</si>
  <si>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</si>
  <si>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</si>
  <si>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</si>
  <si>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</si>
  <si>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</si>
  <si>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</si>
  <si>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</si>
  <si>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</si>
  <si>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</si>
  <si>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</si>
  <si>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</si>
  <si>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</si>
  <si>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</si>
  <si>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</si>
  <si>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</si>
  <si>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</si>
  <si>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</si>
  <si>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</si>
  <si>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</si>
  <si>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</si>
  <si>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</si>
  <si>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</si>
  <si>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</si>
  <si>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</si>
  <si>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</si>
  <si>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</si>
  <si>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</si>
  <si>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</si>
  <si>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</si>
  <si>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</si>
  <si>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</si>
  <si>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</si>
  <si>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</si>
  <si>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</si>
  <si>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</si>
  <si>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</si>
  <si>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</si>
  <si>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</si>
  <si>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</si>
  <si>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</si>
  <si>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</si>
  <si>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</si>
  <si>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</si>
  <si>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</si>
  <si>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</si>
  <si>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</si>
  <si>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</si>
  <si>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</si>
  <si>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</si>
  <si>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</si>
  <si>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</si>
  <si>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</si>
  <si>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</si>
  <si>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</si>
  <si>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</si>
  <si>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</si>
  <si>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</si>
  <si>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</si>
  <si>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</si>
  <si>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</si>
  <si>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</si>
  <si>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</si>
  <si>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</si>
  <si>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</si>
  <si>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</si>
  <si>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</si>
  <si>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</si>
  <si>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</si>
  <si>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</si>
  <si>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</si>
  <si>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</si>
  <si>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</si>
  <si>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</si>
  <si>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</si>
  <si>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</si>
  <si>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</si>
  <si>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</si>
  <si>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</si>
  <si>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</si>
  <si>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</si>
  <si>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</si>
  <si>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</si>
  <si>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</si>
  <si>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</si>
  <si>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</si>
  <si>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</si>
  <si>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</si>
  <si>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</si>
  <si>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</si>
  <si>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</si>
  <si>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</si>
  <si>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</si>
  <si>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</si>
  <si>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</si>
  <si>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</si>
  <si>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</si>
  <si>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</si>
  <si>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</si>
  <si>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</si>
  <si>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</si>
  <si>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</si>
  <si>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</si>
  <si>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</si>
  <si>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</si>
  <si>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</si>
  <si>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</si>
  <si>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</si>
  <si>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</si>
  <si>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</si>
  <si>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</si>
  <si>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</si>
  <si>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</si>
  <si>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</si>
  <si>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</si>
  <si>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</si>
  <si>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</si>
  <si>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</si>
  <si>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</si>
  <si>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</si>
  <si>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</si>
  <si>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</si>
  <si>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</si>
  <si>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</si>
  <si>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</si>
  <si>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</si>
  <si>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</si>
  <si>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</si>
  <si>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</si>
  <si>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</si>
  <si>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</si>
  <si>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</si>
  <si>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</si>
  <si>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</si>
  <si>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</si>
  <si>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</si>
  <si>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</si>
  <si>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</si>
  <si>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</si>
  <si>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</si>
  <si>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</si>
  <si>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</si>
  <si>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</si>
  <si>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</si>
  <si>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</si>
  <si>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</si>
  <si>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</si>
  <si>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</si>
  <si>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</si>
  <si>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</si>
  <si>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</si>
  <si>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</si>
  <si>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</si>
  <si>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</si>
  <si>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</si>
  <si>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</si>
  <si>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</si>
  <si>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</si>
  <si>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</si>
  <si>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</si>
  <si>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</si>
  <si>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</si>
  <si>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</si>
  <si>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</si>
  <si>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</si>
  <si>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</si>
  <si>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</si>
  <si>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</si>
  <si>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</si>
  <si>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</si>
  <si>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</si>
  <si>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</si>
  <si>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</si>
  <si>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</si>
  <si>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</si>
  <si>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</si>
  <si>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</si>
  <si>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</si>
  <si>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</si>
  <si>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</si>
  <si>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</si>
  <si>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</si>
  <si>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</si>
  <si>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</si>
  <si>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</si>
  <si>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</si>
  <si>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</si>
  <si>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</si>
  <si>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</si>
  <si>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</si>
  <si>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</si>
  <si>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</si>
  <si>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</si>
  <si>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</si>
  <si>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</si>
  <si>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</si>
  <si>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</si>
  <si>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</si>
  <si>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</si>
  <si>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</si>
  <si>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</si>
  <si>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</si>
  <si>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</si>
  <si>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</si>
  <si>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</si>
  <si>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</si>
  <si>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</si>
  <si>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</si>
  <si>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</si>
  <si>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</si>
  <si>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</si>
  <si>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</si>
  <si>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</si>
  <si>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</si>
  <si>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</si>
  <si>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</si>
  <si>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</si>
  <si>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</si>
  <si>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</si>
  <si>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</si>
  <si>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</si>
  <si>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</si>
  <si>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</si>
  <si>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</si>
  <si>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</si>
  <si>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</si>
  <si>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</si>
  <si>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</si>
  <si>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</si>
  <si>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</si>
  <si>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</si>
  <si>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</si>
  <si>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</si>
  <si>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</si>
  <si>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</si>
  <si>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</si>
  <si>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</si>
  <si>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</si>
  <si>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</si>
  <si>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</si>
  <si>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</si>
  <si>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</si>
  <si>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</si>
  <si>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</si>
  <si>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</si>
  <si>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</si>
  <si>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</si>
  <si>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</si>
  <si>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</si>
  <si>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</si>
  <si>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</si>
  <si>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</si>
  <si>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</si>
  <si>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</si>
  <si>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</si>
  <si>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</si>
  <si>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</si>
  <si>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</si>
  <si>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</si>
  <si>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</si>
  <si>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</si>
  <si>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</si>
  <si>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</si>
  <si>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</si>
  <si>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</si>
  <si>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</si>
  <si>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</si>
  <si>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</si>
  <si>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</si>
  <si>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</si>
  <si>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</si>
  <si>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</si>
  <si>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</si>
  <si>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</si>
  <si>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</si>
  <si>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</si>
  <si>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</si>
  <si>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</si>
  <si>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</si>
  <si>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</si>
  <si>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</si>
  <si>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</si>
  <si>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</si>
  <si>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</si>
  <si>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</si>
  <si>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</si>
  <si>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</si>
  <si>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</si>
  <si>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</si>
  <si>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</si>
  <si>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</si>
  <si>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</si>
  <si>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</si>
  <si>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</si>
  <si>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</si>
  <si>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</si>
  <si>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</si>
  <si>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</si>
  <si>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</si>
  <si>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</si>
  <si>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</si>
  <si>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</si>
  <si>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</si>
  <si>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</si>
  <si>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</si>
  <si>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</si>
  <si>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</si>
  <si>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</si>
  <si>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</si>
  <si>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</si>
  <si>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</si>
  <si>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</si>
  <si>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</si>
  <si>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</si>
  <si>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</si>
  <si>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</si>
  <si>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</si>
  <si>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</si>
  <si>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</si>
  <si>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</si>
  <si>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</si>
  <si>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</si>
  <si>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</si>
  <si>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</si>
  <si>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</si>
  <si>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</si>
  <si>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</si>
  <si>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</si>
  <si>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</si>
  <si>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</si>
  <si>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</si>
  <si>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</si>
  <si>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</si>
  <si>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</si>
  <si>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</si>
  <si>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</si>
  <si>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</si>
  <si>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</si>
  <si>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</si>
  <si>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</si>
  <si>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</si>
  <si>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</si>
  <si>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</si>
  <si>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</si>
  <si>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</si>
  <si>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</si>
  <si>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</si>
  <si>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</si>
  <si>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</si>
  <si>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</si>
  <si>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</si>
  <si>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</si>
  <si>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</si>
  <si>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</si>
  <si>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</si>
  <si>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</si>
  <si>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</si>
  <si>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</si>
  <si>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</si>
  <si>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</si>
  <si>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</si>
  <si>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</si>
  <si>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</si>
  <si>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</si>
  <si>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</si>
  <si>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</si>
  <si>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</si>
  <si>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</si>
  <si>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</si>
  <si>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</si>
  <si>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</si>
  <si>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</si>
  <si>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</si>
  <si>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</si>
  <si>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</si>
  <si>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</si>
  <si>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</si>
  <si>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</si>
  <si>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</si>
  <si>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</si>
  <si>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</si>
  <si>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</si>
  <si>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</si>
  <si>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</si>
  <si>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</si>
  <si>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</si>
  <si>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</si>
  <si>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</si>
  <si>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</si>
  <si>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</si>
  <si>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</si>
  <si>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</si>
  <si>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</si>
  <si>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</si>
  <si>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</si>
  <si>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</si>
  <si>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</si>
  <si>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</si>
  <si>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</si>
  <si>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</si>
  <si>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</si>
  <si>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</si>
  <si>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</si>
  <si>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</si>
  <si>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</si>
  <si>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</si>
  <si>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</si>
  <si>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</si>
  <si>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</si>
  <si>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</si>
  <si>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</si>
  <si>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</si>
  <si>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</si>
  <si>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</si>
  <si>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</si>
  <si>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</si>
  <si>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</si>
  <si>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</si>
  <si>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</si>
  <si>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</si>
  <si>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</si>
  <si>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</si>
  <si>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</si>
  <si>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</si>
  <si>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</si>
  <si>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</si>
  <si>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</si>
  <si>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</si>
  <si>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</si>
  <si>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</si>
  <si>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</si>
  <si>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</si>
  <si>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</si>
  <si>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</si>
  <si>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</si>
  <si>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</si>
  <si>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</si>
  <si>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</si>
  <si>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</si>
  <si>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</si>
  <si>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</si>
  <si>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</si>
  <si>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</si>
  <si>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</si>
  <si>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</si>
  <si>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</si>
  <si>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</si>
  <si>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</si>
  <si>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</si>
  <si>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</si>
  <si>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</si>
  <si>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</si>
  <si>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</si>
  <si>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</si>
  <si>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</si>
  <si>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</si>
  <si>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</si>
  <si>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</si>
  <si>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</si>
  <si>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</si>
  <si>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</si>
  <si>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</si>
  <si>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</si>
  <si>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</si>
  <si>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</si>
  <si>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</si>
  <si>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</si>
  <si>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</si>
  <si>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</si>
  <si>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</si>
  <si>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</si>
  <si>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</si>
  <si>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</si>
  <si>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</si>
  <si>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</si>
  <si>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</si>
  <si>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</si>
  <si>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</si>
  <si>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</si>
  <si>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</si>
  <si>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</si>
  <si>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</si>
  <si>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</si>
  <si>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</si>
  <si>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</si>
  <si>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</si>
  <si>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</si>
  <si>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</si>
  <si>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</si>
  <si>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</si>
  <si>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</si>
  <si>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</si>
  <si>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</si>
  <si>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</si>
  <si>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</si>
  <si>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</si>
  <si>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</si>
  <si>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</si>
  <si>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</si>
  <si>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</si>
  <si>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</si>
  <si>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</si>
  <si>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</si>
  <si>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</si>
  <si>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</si>
  <si>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</si>
  <si>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</si>
  <si>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</si>
  <si>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</si>
  <si>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</si>
  <si>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</si>
  <si>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</si>
  <si>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</si>
  <si>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</si>
  <si>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</si>
  <si>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</si>
  <si>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</si>
  <si>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</si>
  <si>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</si>
  <si>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</si>
  <si>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</si>
  <si>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</si>
  <si>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</si>
  <si>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</si>
  <si>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</si>
  <si>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</si>
  <si>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</si>
  <si>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</si>
  <si>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</si>
  <si>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</si>
  <si>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</si>
  <si>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</si>
  <si>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</si>
  <si>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</si>
  <si>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</si>
  <si>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</si>
  <si>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</si>
  <si>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</si>
  <si>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</si>
  <si>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</si>
  <si>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</si>
  <si>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</si>
  <si>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</si>
  <si>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</si>
  <si>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</si>
  <si>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</si>
  <si>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</si>
  <si>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</si>
  <si>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</si>
  <si>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</si>
  <si>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</si>
  <si>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</si>
  <si>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</si>
  <si>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</si>
  <si>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</si>
  <si>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</si>
  <si>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</si>
  <si>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</si>
  <si>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</si>
  <si>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</si>
  <si>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</si>
  <si>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</si>
  <si>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</si>
  <si>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</si>
  <si>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</si>
  <si>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</si>
  <si>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</si>
  <si>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</si>
  <si>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</si>
  <si>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</si>
  <si>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</si>
  <si>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</si>
  <si>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</si>
  <si>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</si>
  <si>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</si>
  <si>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</si>
  <si>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</si>
  <si>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</si>
  <si>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</si>
  <si>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</si>
  <si>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</si>
  <si>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</si>
  <si>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</si>
  <si>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</si>
  <si>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</si>
  <si>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</si>
  <si>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</si>
  <si>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</si>
  <si>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</si>
  <si>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</si>
  <si>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</si>
  <si>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</si>
  <si>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</si>
  <si>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</si>
  <si>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</si>
  <si>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</si>
  <si>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</si>
  <si>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</si>
  <si>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</si>
  <si>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</si>
  <si>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</si>
  <si>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</si>
  <si>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</si>
  <si>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</si>
  <si>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</si>
  <si>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</si>
  <si>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</si>
  <si>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</si>
  <si>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</si>
  <si>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</si>
  <si>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</si>
  <si>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</si>
  <si>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</si>
  <si>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</si>
  <si>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</si>
  <si>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</si>
  <si>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</si>
  <si>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</si>
  <si>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</si>
  <si>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</si>
  <si>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</si>
  <si>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</si>
  <si>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</si>
  <si>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</si>
  <si>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</si>
  <si>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</si>
  <si>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</si>
  <si>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</si>
  <si>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</si>
  <si>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</si>
  <si>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</si>
  <si>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</si>
  <si>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</si>
  <si>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</si>
  <si>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</si>
  <si>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</si>
  <si>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</si>
  <si>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</si>
  <si>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</si>
  <si>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</si>
  <si>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</si>
  <si>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</si>
  <si>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</si>
  <si>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</si>
  <si>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</si>
  <si>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</si>
  <si>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</si>
  <si>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</si>
  <si>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</si>
  <si>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</si>
  <si>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</si>
  <si>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</si>
  <si>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</si>
  <si>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</si>
  <si>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</si>
  <si>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</si>
  <si>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</si>
  <si>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</si>
  <si>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</si>
  <si>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</si>
  <si>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</si>
  <si>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</si>
  <si>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</si>
  <si>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</si>
  <si>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</si>
  <si>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</si>
  <si>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</si>
  <si>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</si>
  <si>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</si>
  <si>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</si>
  <si>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</si>
  <si>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</si>
  <si>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</si>
  <si>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</si>
  <si>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</si>
  <si>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</si>
  <si>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</si>
  <si>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</si>
  <si>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</si>
  <si>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</si>
  <si>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</si>
  <si>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</si>
  <si>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</si>
  <si>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WEARE SCHOOL DISTRICT</t>
  </si>
  <si>
    <t>LIABS NOT PAID</t>
  </si>
  <si>
    <t>PR YEAR DEFERRED REVENUE</t>
  </si>
  <si>
    <t>6/23/05</t>
  </si>
  <si>
    <t>8/1/25</t>
  </si>
  <si>
    <t>9/15/17</t>
  </si>
  <si>
    <t>7/1/13</t>
  </si>
  <si>
    <t>8/1/2015</t>
  </si>
  <si>
    <t>6/30/26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</si>
</sst>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555</v>
      </c>
      <c r="C2" s="21">
        <v>555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373437.76</v>
      </c>
      <c r="G9" s="18">
        <v>92296.960000000006</v>
      </c>
      <c r="H9" s="18">
        <v>-26678.04</v>
      </c>
      <c r="I9" s="18">
        <v>0</v>
      </c>
      <c r="J9" s="67">
        <f>SUM(I439)</f>
        <v>261920.53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1631.73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38939.61</v>
      </c>
      <c r="G13" s="18">
        <v>13534.54</v>
      </c>
      <c r="H13" s="18">
        <v>33997.089999999997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1631.73</v>
      </c>
      <c r="G14" s="18">
        <v>11319.95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414009.1</v>
      </c>
      <c r="G19" s="41">
        <f>SUM(G9:G18)</f>
        <v>118783.18000000001</v>
      </c>
      <c r="H19" s="41">
        <f>SUM(H9:H18)</f>
        <v>7319.0499999999956</v>
      </c>
      <c r="I19" s="41">
        <f>SUM(I9:I18)</f>
        <v>0</v>
      </c>
      <c r="J19" s="41">
        <f>SUM(J9:J18)</f>
        <v>261920.53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1631.73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720</v>
      </c>
      <c r="G23" s="18">
        <v>768.61</v>
      </c>
      <c r="H23" s="18">
        <v>1148.43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54088.35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9018.6</v>
      </c>
      <c r="G25" s="10">
        <v>15000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21003.43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7347.08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86462.11</v>
      </c>
      <c r="G32" s="41">
        <f>SUM(G22:G31)</f>
        <v>23115.690000000002</v>
      </c>
      <c r="H32" s="41">
        <f>SUM(H22:H31)</f>
        <v>1148.43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95667.49</v>
      </c>
      <c r="H48" s="18">
        <v>6170.62</v>
      </c>
      <c r="I48" s="18">
        <v>0</v>
      </c>
      <c r="J48" s="13">
        <f>SUM(I459)</f>
        <v>261920.53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277546.99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327546.99</v>
      </c>
      <c r="G51" s="41">
        <f>SUM(G35:G50)</f>
        <v>95667.49</v>
      </c>
      <c r="H51" s="41">
        <f>SUM(H35:H50)</f>
        <v>6170.62</v>
      </c>
      <c r="I51" s="41">
        <f>SUM(I35:I50)</f>
        <v>0</v>
      </c>
      <c r="J51" s="41">
        <f>SUM(J35:J50)</f>
        <v>261920.53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414009.1</v>
      </c>
      <c r="G52" s="41">
        <f>G51+G32</f>
        <v>118783.18000000001</v>
      </c>
      <c r="H52" s="41">
        <f>H51+H32</f>
        <v>7319.05</v>
      </c>
      <c r="I52" s="41">
        <f>I51+I32</f>
        <v>0</v>
      </c>
      <c r="J52" s="41">
        <f>J51+J32</f>
        <v>261920.53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6889026</v>
      </c>
      <c r="G57" s="18">
        <v>38246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6889026</v>
      </c>
      <c r="G60" s="41">
        <f>SUM(G57:G59)</f>
        <v>38246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15675.48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6586.92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36235.85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22262.400000000001</v>
      </c>
      <c r="G79" s="45" t="s">
        <v>289</v>
      </c>
      <c r="H79" s="41">
        <f>SUM(H63:H78)</f>
        <v>36235.85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76468.490000000005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76468.490000000005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445.31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193153.64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765.13</v>
      </c>
      <c r="G102" s="18">
        <v>0</v>
      </c>
      <c r="H102" s="18">
        <v>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5398.78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163970.57999999999</v>
      </c>
      <c r="G110" s="18">
        <v>11319.95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170384.49</v>
      </c>
      <c r="G111" s="41">
        <f>SUM(G96:G110)</f>
        <v>204473.59000000003</v>
      </c>
      <c r="H111" s="41">
        <f>SUM(H96:H110)</f>
        <v>0</v>
      </c>
      <c r="I111" s="41">
        <f>SUM(I96:I110)</f>
        <v>0</v>
      </c>
      <c r="J111" s="41">
        <f>SUM(J96:J110)</f>
        <v>445.31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7158141.3800000008</v>
      </c>
      <c r="G112" s="41">
        <f>G60+G111</f>
        <v>242719.59000000003</v>
      </c>
      <c r="H112" s="41">
        <f>H60+H79+H94+H111</f>
        <v>36235.85</v>
      </c>
      <c r="I112" s="41">
        <f>I60+I111</f>
        <v>0</v>
      </c>
      <c r="J112" s="41">
        <f>J60+J111</f>
        <v>445.31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4674156.8600000003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1159913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5834069.8600000003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385686.4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91662.41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4927.5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477348.81000000006</v>
      </c>
      <c r="G136" s="41">
        <f>SUM(G123:G135)</f>
        <v>4927.5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6311418.6699999999</v>
      </c>
      <c r="G140" s="41">
        <f>G121+SUM(G136:G137)</f>
        <v>4927.5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58762.68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114797.46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149417.07999999999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149417.07999999999</v>
      </c>
      <c r="G162" s="41">
        <f>SUM(G150:G161)</f>
        <v>114797.46</v>
      </c>
      <c r="H162" s="41">
        <f>SUM(H150:H161)</f>
        <v>58762.68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149417.07999999999</v>
      </c>
      <c r="G169" s="41">
        <f>G147+G162+SUM(G163:G168)</f>
        <v>114797.46</v>
      </c>
      <c r="H169" s="41">
        <f>H147+H162+SUM(H163:H168)</f>
        <v>58762.68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13618977.130000001</v>
      </c>
      <c r="G193" s="47">
        <f>G112+G140+G169+G192</f>
        <v>362444.55000000005</v>
      </c>
      <c r="H193" s="47">
        <f>H112+H140+H169+H192</f>
        <v>94998.53</v>
      </c>
      <c r="I193" s="47">
        <f>I112+I140+I169+I192</f>
        <v>0</v>
      </c>
      <c r="J193" s="47">
        <f>J112+J140+J192</f>
        <v>25445.31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1631862.26</v>
      </c>
      <c r="G197" s="18">
        <v>751867.53</v>
      </c>
      <c r="H197" s="18">
        <v>11189.9</v>
      </c>
      <c r="I197" s="18">
        <v>109187.45</v>
      </c>
      <c r="J197" s="18">
        <v>69628.08</v>
      </c>
      <c r="K197" s="18">
        <v>0</v>
      </c>
      <c r="L197" s="19">
        <f>SUM(F197:K197)</f>
        <v>2573735.2200000002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819812.12</v>
      </c>
      <c r="G198" s="18">
        <v>258385.37</v>
      </c>
      <c r="H198" s="18">
        <v>95711.86</v>
      </c>
      <c r="I198" s="18">
        <v>8249.61</v>
      </c>
      <c r="J198" s="18">
        <v>2617.9</v>
      </c>
      <c r="K198" s="18">
        <v>11876.52</v>
      </c>
      <c r="L198" s="19">
        <f>SUM(F198:K198)</f>
        <v>1196653.3800000001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19276.07</v>
      </c>
      <c r="G200" s="18">
        <v>3980.41</v>
      </c>
      <c r="H200" s="18">
        <v>0</v>
      </c>
      <c r="I200" s="18">
        <v>302.75</v>
      </c>
      <c r="J200" s="18">
        <v>0</v>
      </c>
      <c r="K200" s="18">
        <v>0</v>
      </c>
      <c r="L200" s="19">
        <f>SUM(F200:K200)</f>
        <v>23559.23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299545.51</v>
      </c>
      <c r="G202" s="18">
        <v>171945.85</v>
      </c>
      <c r="H202" s="18">
        <v>5326.44</v>
      </c>
      <c r="I202" s="18">
        <v>4387.8100000000004</v>
      </c>
      <c r="J202" s="18">
        <v>4210.7299999999996</v>
      </c>
      <c r="K202" s="18">
        <v>0</v>
      </c>
      <c r="L202" s="19">
        <f t="shared" ref="L202:L208" si="0">SUM(F202:K202)</f>
        <v>485416.33999999997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107779</v>
      </c>
      <c r="G203" s="18">
        <v>40467.96</v>
      </c>
      <c r="H203" s="18">
        <v>605.34</v>
      </c>
      <c r="I203" s="18">
        <v>11688.28</v>
      </c>
      <c r="J203" s="18">
        <v>114695.03999999999</v>
      </c>
      <c r="K203" s="18">
        <v>23462.12</v>
      </c>
      <c r="L203" s="19">
        <f t="shared" si="0"/>
        <v>298697.74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4050</v>
      </c>
      <c r="G204" s="18">
        <v>14703.26</v>
      </c>
      <c r="H204" s="18">
        <v>258571.59</v>
      </c>
      <c r="I204" s="18">
        <v>1222.51</v>
      </c>
      <c r="J204" s="18">
        <v>0</v>
      </c>
      <c r="K204" s="18">
        <v>5819.22</v>
      </c>
      <c r="L204" s="19">
        <f t="shared" si="0"/>
        <v>284366.57999999996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243522.85</v>
      </c>
      <c r="G205" s="18">
        <v>139184.16</v>
      </c>
      <c r="H205" s="18">
        <v>20642.21</v>
      </c>
      <c r="I205" s="18">
        <v>2024.65</v>
      </c>
      <c r="J205" s="18">
        <v>350</v>
      </c>
      <c r="K205" s="18">
        <v>1265</v>
      </c>
      <c r="L205" s="19">
        <f t="shared" si="0"/>
        <v>406988.87000000005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49817.46</v>
      </c>
      <c r="G207" s="18">
        <v>19606.259999999998</v>
      </c>
      <c r="H207" s="18">
        <v>329930.78000000003</v>
      </c>
      <c r="I207" s="18">
        <v>122850.14</v>
      </c>
      <c r="J207" s="18">
        <v>13221.1</v>
      </c>
      <c r="K207" s="18">
        <v>0</v>
      </c>
      <c r="L207" s="19">
        <f t="shared" si="0"/>
        <v>535425.74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436456.09</v>
      </c>
      <c r="I208" s="18">
        <v>0</v>
      </c>
      <c r="J208" s="18">
        <v>0</v>
      </c>
      <c r="K208" s="18">
        <v>0</v>
      </c>
      <c r="L208" s="19">
        <f t="shared" si="0"/>
        <v>436456.09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3175665.27</v>
      </c>
      <c r="G211" s="41">
        <f t="shared" si="1"/>
        <v>1400140.8</v>
      </c>
      <c r="H211" s="41">
        <f t="shared" si="1"/>
        <v>1158434.2100000002</v>
      </c>
      <c r="I211" s="41">
        <f t="shared" si="1"/>
        <v>259913.2</v>
      </c>
      <c r="J211" s="41">
        <f t="shared" si="1"/>
        <v>204722.85</v>
      </c>
      <c r="K211" s="41">
        <f t="shared" si="1"/>
        <v>42422.86</v>
      </c>
      <c r="L211" s="41">
        <f t="shared" si="1"/>
        <v>6241299.1900000013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1646723.1</v>
      </c>
      <c r="G215" s="18">
        <v>768759.11</v>
      </c>
      <c r="H215" s="18">
        <v>12216.49</v>
      </c>
      <c r="I215" s="18">
        <f>78718.9+0.18</f>
        <v>78719.079999999987</v>
      </c>
      <c r="J215" s="18">
        <v>29327.99</v>
      </c>
      <c r="K215" s="18">
        <v>0</v>
      </c>
      <c r="L215" s="19">
        <f>SUM(F215:K215)</f>
        <v>2535745.7700000005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737034.82</v>
      </c>
      <c r="G216" s="18">
        <v>227484.48</v>
      </c>
      <c r="H216" s="18">
        <v>100327.1</v>
      </c>
      <c r="I216" s="18">
        <v>10804.15</v>
      </c>
      <c r="J216" s="18">
        <v>2262.25</v>
      </c>
      <c r="K216" s="18">
        <v>8123.48</v>
      </c>
      <c r="L216" s="19">
        <f>SUM(F216:K216)</f>
        <v>1086036.2799999998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500</v>
      </c>
      <c r="I217" s="18">
        <v>0</v>
      </c>
      <c r="J217" s="18">
        <v>0</v>
      </c>
      <c r="K217" s="18">
        <v>0</v>
      </c>
      <c r="L217" s="19">
        <f>SUM(F217:K217)</f>
        <v>500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39431.410000000003</v>
      </c>
      <c r="G218" s="18">
        <v>7089.58</v>
      </c>
      <c r="H218" s="18">
        <v>0</v>
      </c>
      <c r="I218" s="18">
        <v>4088.57</v>
      </c>
      <c r="J218" s="18">
        <v>167.79</v>
      </c>
      <c r="K218" s="18">
        <v>5755</v>
      </c>
      <c r="L218" s="19">
        <f>SUM(F218:K218)</f>
        <v>56532.350000000006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240624.21</v>
      </c>
      <c r="G220" s="18">
        <v>125602.36</v>
      </c>
      <c r="H220" s="18">
        <v>19743.04</v>
      </c>
      <c r="I220" s="18">
        <v>3052.93</v>
      </c>
      <c r="J220" s="18">
        <v>835.95</v>
      </c>
      <c r="K220" s="18">
        <v>100</v>
      </c>
      <c r="L220" s="19">
        <f t="shared" ref="L220:L226" si="2">SUM(F220:K220)</f>
        <v>389958.49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104087</v>
      </c>
      <c r="G221" s="18">
        <v>69488.41</v>
      </c>
      <c r="H221" s="18">
        <v>3100</v>
      </c>
      <c r="I221" s="18">
        <v>20143.13</v>
      </c>
      <c r="J221" s="18">
        <v>110554.66</v>
      </c>
      <c r="K221" s="18">
        <v>23095.79</v>
      </c>
      <c r="L221" s="19">
        <f t="shared" si="2"/>
        <v>330468.99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4050</v>
      </c>
      <c r="G222" s="18">
        <v>14703.25</v>
      </c>
      <c r="H222" s="18">
        <v>258676.58</v>
      </c>
      <c r="I222" s="18">
        <v>226</v>
      </c>
      <c r="J222" s="18">
        <v>0</v>
      </c>
      <c r="K222" s="18">
        <v>5868.32</v>
      </c>
      <c r="L222" s="19">
        <f t="shared" si="2"/>
        <v>283524.14999999997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249475.63</v>
      </c>
      <c r="G223" s="18">
        <v>101929.49</v>
      </c>
      <c r="H223" s="18">
        <v>23855.48</v>
      </c>
      <c r="I223" s="18">
        <v>544.23</v>
      </c>
      <c r="J223" s="18">
        <v>0</v>
      </c>
      <c r="K223" s="18">
        <v>1953.92</v>
      </c>
      <c r="L223" s="19">
        <f t="shared" si="2"/>
        <v>377758.74999999994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218511.82</v>
      </c>
      <c r="G225" s="18">
        <v>97539.06</v>
      </c>
      <c r="H225" s="18">
        <v>194947.45</v>
      </c>
      <c r="I225" s="18">
        <v>212060.24</v>
      </c>
      <c r="J225" s="18">
        <v>12582.98</v>
      </c>
      <c r="K225" s="18">
        <v>150</v>
      </c>
      <c r="L225" s="19">
        <f t="shared" si="2"/>
        <v>735791.55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333445.15999999997</v>
      </c>
      <c r="I226" s="18">
        <v>0</v>
      </c>
      <c r="J226" s="18">
        <v>0</v>
      </c>
      <c r="K226" s="18">
        <v>0</v>
      </c>
      <c r="L226" s="19">
        <f t="shared" si="2"/>
        <v>333445.15999999997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/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3239937.9899999998</v>
      </c>
      <c r="G229" s="41">
        <f>SUM(G215:G228)</f>
        <v>1412595.74</v>
      </c>
      <c r="H229" s="41">
        <f>SUM(H215:H228)</f>
        <v>946811.29999999981</v>
      </c>
      <c r="I229" s="41">
        <f>SUM(I215:I228)</f>
        <v>329638.32999999996</v>
      </c>
      <c r="J229" s="41">
        <f>SUM(J215:J228)</f>
        <v>155731.62000000002</v>
      </c>
      <c r="K229" s="41">
        <f t="shared" si="3"/>
        <v>45046.51</v>
      </c>
      <c r="L229" s="41">
        <f t="shared" si="3"/>
        <v>6129761.4900000012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6415603.2599999998</v>
      </c>
      <c r="G257" s="41">
        <f t="shared" si="8"/>
        <v>2812736.54</v>
      </c>
      <c r="H257" s="41">
        <f t="shared" si="8"/>
        <v>2105245.5099999998</v>
      </c>
      <c r="I257" s="41">
        <f t="shared" si="8"/>
        <v>589551.53</v>
      </c>
      <c r="J257" s="41">
        <f t="shared" si="8"/>
        <v>360454.47000000003</v>
      </c>
      <c r="K257" s="41">
        <f t="shared" si="8"/>
        <v>87469.37</v>
      </c>
      <c r="L257" s="41">
        <f t="shared" si="8"/>
        <v>12371060.680000003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987745.18</v>
      </c>
      <c r="L260" s="19">
        <f>SUM(F260:K260)</f>
        <v>987745.18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421722.01</v>
      </c>
      <c r="L261" s="19">
        <f>SUM(F261:K261)</f>
        <v>421722.01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1434467.19</v>
      </c>
      <c r="L270" s="41">
        <f t="shared" si="9"/>
        <v>1434467.19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6415603.2599999998</v>
      </c>
      <c r="G271" s="42">
        <f t="shared" si="11"/>
        <v>2812736.54</v>
      </c>
      <c r="H271" s="42">
        <f t="shared" si="11"/>
        <v>2105245.5099999998</v>
      </c>
      <c r="I271" s="42">
        <f t="shared" si="11"/>
        <v>589551.53</v>
      </c>
      <c r="J271" s="42">
        <f t="shared" si="11"/>
        <v>360454.47000000003</v>
      </c>
      <c r="K271" s="42">
        <f t="shared" si="11"/>
        <v>1521936.56</v>
      </c>
      <c r="L271" s="42">
        <f t="shared" si="11"/>
        <v>13805527.870000003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15231.6</v>
      </c>
      <c r="G282" s="18">
        <f>2859.66+87.23+161.44</f>
        <v>3108.33</v>
      </c>
      <c r="H282" s="18">
        <f>12022.02+15462.34+2412.84+0.03</f>
        <v>29897.23</v>
      </c>
      <c r="I282" s="18">
        <v>0</v>
      </c>
      <c r="J282" s="18">
        <v>0</v>
      </c>
      <c r="K282" s="18">
        <v>1711.54</v>
      </c>
      <c r="L282" s="19">
        <f t="shared" si="12"/>
        <v>49948.700000000004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15231.6</v>
      </c>
      <c r="G290" s="42">
        <f t="shared" si="13"/>
        <v>3108.33</v>
      </c>
      <c r="H290" s="42">
        <f t="shared" si="13"/>
        <v>29897.23</v>
      </c>
      <c r="I290" s="42">
        <f t="shared" si="13"/>
        <v>0</v>
      </c>
      <c r="J290" s="42">
        <f t="shared" si="13"/>
        <v>0</v>
      </c>
      <c r="K290" s="42">
        <f t="shared" si="13"/>
        <v>1711.54</v>
      </c>
      <c r="L290" s="41">
        <f t="shared" si="13"/>
        <v>49948.700000000004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30662.94</v>
      </c>
      <c r="G298" s="18">
        <v>2345.7399999999998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33008.68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7250</v>
      </c>
      <c r="G301" s="18">
        <v>1563.98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8813.98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/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37912.94</v>
      </c>
      <c r="G309" s="42">
        <f t="shared" si="15"/>
        <v>3909.72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41822.660000000003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53144.54</v>
      </c>
      <c r="G338" s="41">
        <f t="shared" si="20"/>
        <v>7018.0499999999993</v>
      </c>
      <c r="H338" s="41">
        <f t="shared" si="20"/>
        <v>29897.23</v>
      </c>
      <c r="I338" s="41">
        <f t="shared" si="20"/>
        <v>0</v>
      </c>
      <c r="J338" s="41">
        <f t="shared" si="20"/>
        <v>0</v>
      </c>
      <c r="K338" s="41">
        <f t="shared" si="20"/>
        <v>1711.54</v>
      </c>
      <c r="L338" s="41">
        <f t="shared" si="20"/>
        <v>91771.360000000015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53144.54</v>
      </c>
      <c r="G352" s="41">
        <f>G338</f>
        <v>7018.0499999999993</v>
      </c>
      <c r="H352" s="41">
        <f>H338</f>
        <v>29897.23</v>
      </c>
      <c r="I352" s="41">
        <f>I338</f>
        <v>0</v>
      </c>
      <c r="J352" s="41">
        <f>J338</f>
        <v>0</v>
      </c>
      <c r="K352" s="47">
        <f>K338+K351</f>
        <v>1711.54</v>
      </c>
      <c r="L352" s="41">
        <f>L338+L351</f>
        <v>91771.360000000015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165518.97</v>
      </c>
      <c r="I358" s="18">
        <v>3170.73</v>
      </c>
      <c r="J358" s="18">
        <v>18981.14</v>
      </c>
      <c r="K358" s="18">
        <v>35</v>
      </c>
      <c r="L358" s="13">
        <f>SUM(F358:K358)</f>
        <v>187705.84000000003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166207.6</v>
      </c>
      <c r="I359" s="18">
        <v>0</v>
      </c>
      <c r="J359" s="18">
        <v>0</v>
      </c>
      <c r="K359" s="18">
        <v>1333.91</v>
      </c>
      <c r="L359" s="19">
        <f>SUM(F359:K359)</f>
        <v>167541.51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331726.57</v>
      </c>
      <c r="I362" s="47">
        <f t="shared" si="22"/>
        <v>3170.73</v>
      </c>
      <c r="J362" s="47">
        <f t="shared" si="22"/>
        <v>18981.14</v>
      </c>
      <c r="K362" s="47">
        <f t="shared" si="22"/>
        <v>1368.91</v>
      </c>
      <c r="L362" s="47">
        <f t="shared" si="22"/>
        <v>355247.35000000003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>
        <v>0</v>
      </c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3170.73</v>
      </c>
      <c r="G368" s="63">
        <v>0</v>
      </c>
      <c r="H368" s="63"/>
      <c r="I368" s="56">
        <f>SUM(F368:H368)</f>
        <v>3170.73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3170.73</v>
      </c>
      <c r="G369" s="47">
        <f>SUM(G367:G368)</f>
        <v>0</v>
      </c>
      <c r="H369" s="47">
        <f>SUM(H367:H368)</f>
        <v>0</v>
      </c>
      <c r="I369" s="47">
        <f>SUM(I367:I368)</f>
        <v>3170.73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95.89</v>
      </c>
      <c r="I389" s="18"/>
      <c r="J389" s="24" t="s">
        <v>289</v>
      </c>
      <c r="K389" s="24" t="s">
        <v>289</v>
      </c>
      <c r="L389" s="56">
        <f t="shared" si="25"/>
        <v>95.89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95.89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95.89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83.26</v>
      </c>
      <c r="I396" s="18"/>
      <c r="J396" s="24" t="s">
        <v>289</v>
      </c>
      <c r="K396" s="24" t="s">
        <v>289</v>
      </c>
      <c r="L396" s="56">
        <f t="shared" si="26"/>
        <v>25083.26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85.44</v>
      </c>
      <c r="I397" s="18"/>
      <c r="J397" s="24" t="s">
        <v>289</v>
      </c>
      <c r="K397" s="24" t="s">
        <v>289</v>
      </c>
      <c r="L397" s="56">
        <f t="shared" si="26"/>
        <v>85.44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180.72</v>
      </c>
      <c r="I400" s="18"/>
      <c r="J400" s="24" t="s">
        <v>289</v>
      </c>
      <c r="K400" s="24" t="s">
        <v>289</v>
      </c>
      <c r="L400" s="56">
        <f t="shared" si="26"/>
        <v>180.72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349.41999999999996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25349.42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445.30999999999995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25445.309999999998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>
        <v>0</v>
      </c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261920.53</v>
      </c>
      <c r="H439" s="18"/>
      <c r="I439" s="56">
        <f t="shared" ref="I439:I445" si="33">SUM(F439:H439)</f>
        <v>261920.53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261920.53</v>
      </c>
      <c r="H446" s="13">
        <f>SUM(H439:H445)</f>
        <v>0</v>
      </c>
      <c r="I446" s="13">
        <f>SUM(I439:I445)</f>
        <v>261920.53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261920.53</v>
      </c>
      <c r="H459" s="18"/>
      <c r="I459" s="56">
        <f t="shared" si="34"/>
        <v>261920.53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261920.53</v>
      </c>
      <c r="H460" s="83">
        <f>SUM(H454:H459)</f>
        <v>0</v>
      </c>
      <c r="I460" s="83">
        <f>SUM(I454:I459)</f>
        <v>261920.53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261920.53</v>
      </c>
      <c r="H461" s="42">
        <f>H452+H460</f>
        <v>0</v>
      </c>
      <c r="I461" s="42">
        <f>I452+I460</f>
        <v>261920.53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513304.22</v>
      </c>
      <c r="G465" s="18">
        <v>81533.91</v>
      </c>
      <c r="H465" s="18">
        <v>2943.45</v>
      </c>
      <c r="I465" s="18">
        <v>0</v>
      </c>
      <c r="J465" s="18">
        <v>236475.22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13618977.130000001</v>
      </c>
      <c r="G468" s="18">
        <v>362444.55</v>
      </c>
      <c r="H468" s="18">
        <v>94998.53</v>
      </c>
      <c r="I468" s="18">
        <v>0</v>
      </c>
      <c r="J468" s="18">
        <v>25445.31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793.51</f>
        <v>793.51</v>
      </c>
      <c r="G469" s="18">
        <v>6936.38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13619770.640000001</v>
      </c>
      <c r="G470" s="53">
        <f>SUM(G468:G469)</f>
        <v>369380.93</v>
      </c>
      <c r="H470" s="53">
        <f>SUM(H468:H469)</f>
        <v>94998.53</v>
      </c>
      <c r="I470" s="53">
        <f>SUM(I468:I469)</f>
        <v>0</v>
      </c>
      <c r="J470" s="53">
        <f>SUM(J468:J469)</f>
        <v>25445.31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13805527.869999999</v>
      </c>
      <c r="G472" s="18">
        <v>355247.35</v>
      </c>
      <c r="H472" s="18">
        <v>91771.36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13805527.869999999</v>
      </c>
      <c r="G474" s="53">
        <f>SUM(G472:G473)</f>
        <v>355247.35</v>
      </c>
      <c r="H474" s="53">
        <f>SUM(H472:H473)</f>
        <v>91771.36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327546.99000000209</v>
      </c>
      <c r="G476" s="53">
        <f>(G465+G470)- G474</f>
        <v>95667.489999999991</v>
      </c>
      <c r="H476" s="53">
        <f>(H465+H470)- H474</f>
        <v>6170.6199999999953</v>
      </c>
      <c r="I476" s="53">
        <f>(I465+I470)- I474</f>
        <v>0</v>
      </c>
      <c r="J476" s="53">
        <f>(J465+J470)- J474</f>
        <v>261920.53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913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 t="s">
        <v>917</v>
      </c>
      <c r="H491" s="155" t="s">
        <v>918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916</v>
      </c>
      <c r="H492" s="155" t="s">
        <v>919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18000000</v>
      </c>
      <c r="G493" s="18">
        <v>300000</v>
      </c>
      <c r="H493" s="18">
        <v>10217500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3.5</v>
      </c>
      <c r="G494" s="18">
        <v>2.25</v>
      </c>
      <c r="H494" s="18">
        <v>1.88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10800000</v>
      </c>
      <c r="G495" s="18">
        <v>87745.18</v>
      </c>
      <c r="H495" s="18">
        <v>0</v>
      </c>
      <c r="I495" s="18"/>
      <c r="J495" s="18"/>
      <c r="K495" s="53">
        <f>SUM(F495:J495)</f>
        <v>10887745.18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10217500</v>
      </c>
      <c r="I496" s="18"/>
      <c r="J496" s="18"/>
      <c r="K496" s="53">
        <f t="shared" ref="K496:K503" si="35">SUM(F496:J496)</f>
        <v>10217500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900000</v>
      </c>
      <c r="G497" s="18">
        <v>87745.18</v>
      </c>
      <c r="H497" s="18">
        <v>0</v>
      </c>
      <c r="I497" s="18"/>
      <c r="J497" s="18"/>
      <c r="K497" s="53">
        <f t="shared" si="35"/>
        <v>987745.17999999993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0</v>
      </c>
      <c r="H498" s="204">
        <v>10217500</v>
      </c>
      <c r="I498" s="204"/>
      <c r="J498" s="204"/>
      <c r="K498" s="205">
        <f t="shared" si="35"/>
        <v>10217500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0</v>
      </c>
      <c r="H499" s="18">
        <v>1006138</v>
      </c>
      <c r="I499" s="18"/>
      <c r="J499" s="18"/>
      <c r="K499" s="53">
        <f t="shared" si="35"/>
        <v>1006138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11223638</v>
      </c>
      <c r="I500" s="42">
        <f>SUM(I498:I499)</f>
        <v>0</v>
      </c>
      <c r="J500" s="42">
        <f>SUM(J498:J499)</f>
        <v>0</v>
      </c>
      <c r="K500" s="42">
        <f t="shared" si="35"/>
        <v>11223638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0</v>
      </c>
      <c r="H501" s="204">
        <v>1117500</v>
      </c>
      <c r="I501" s="204"/>
      <c r="J501" s="204"/>
      <c r="K501" s="205">
        <f t="shared" si="35"/>
        <v>1117500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0</v>
      </c>
      <c r="H502" s="18">
        <v>168738</v>
      </c>
      <c r="I502" s="18"/>
      <c r="J502" s="18"/>
      <c r="K502" s="53">
        <f t="shared" si="35"/>
        <v>168738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1286238</v>
      </c>
      <c r="I503" s="42">
        <f>SUM(I501:I502)</f>
        <v>0</v>
      </c>
      <c r="J503" s="42">
        <f>SUM(J501:J502)</f>
        <v>0</v>
      </c>
      <c r="K503" s="42">
        <f t="shared" si="35"/>
        <v>1286238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819812.12</v>
      </c>
      <c r="G521" s="18">
        <v>258385.37</v>
      </c>
      <c r="H521" s="18">
        <v>95711.86</v>
      </c>
      <c r="I521" s="18">
        <v>8249.61</v>
      </c>
      <c r="J521" s="18">
        <v>2617.9</v>
      </c>
      <c r="K521" s="18">
        <v>11876.52</v>
      </c>
      <c r="L521" s="88">
        <f>SUM(F521:K521)</f>
        <v>1196653.3800000001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737034.82</v>
      </c>
      <c r="G522" s="18">
        <v>227484.48</v>
      </c>
      <c r="H522" s="18">
        <v>100327.1</v>
      </c>
      <c r="I522" s="18">
        <v>10804.15</v>
      </c>
      <c r="J522" s="18">
        <v>2262.25</v>
      </c>
      <c r="K522" s="18">
        <v>8123.48</v>
      </c>
      <c r="L522" s="88">
        <f>SUM(F522:K522)</f>
        <v>1086036.2799999998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1556846.94</v>
      </c>
      <c r="G524" s="108">
        <f t="shared" ref="G524:L524" si="36">SUM(G521:G523)</f>
        <v>485869.85</v>
      </c>
      <c r="H524" s="108">
        <f t="shared" si="36"/>
        <v>196038.96000000002</v>
      </c>
      <c r="I524" s="108">
        <f t="shared" si="36"/>
        <v>19053.760000000002</v>
      </c>
      <c r="J524" s="108">
        <f t="shared" si="36"/>
        <v>4880.1499999999996</v>
      </c>
      <c r="K524" s="108">
        <f t="shared" si="36"/>
        <v>20000</v>
      </c>
      <c r="L524" s="89">
        <f t="shared" si="36"/>
        <v>2282689.66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155902.34</v>
      </c>
      <c r="G526" s="18">
        <v>86581.27</v>
      </c>
      <c r="H526" s="18">
        <v>4743.4399999999996</v>
      </c>
      <c r="I526" s="18">
        <v>1936.72</v>
      </c>
      <c r="J526" s="18">
        <v>4148.1499999999996</v>
      </c>
      <c r="K526" s="18">
        <v>0</v>
      </c>
      <c r="L526" s="88">
        <f>SUM(F526:K526)</f>
        <v>253311.91999999998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66201.100000000006</v>
      </c>
      <c r="G527" s="18">
        <v>51188.72</v>
      </c>
      <c r="H527" s="18">
        <v>19456.04</v>
      </c>
      <c r="I527" s="18">
        <v>468.41</v>
      </c>
      <c r="J527" s="18">
        <v>835.95</v>
      </c>
      <c r="K527" s="18">
        <v>0</v>
      </c>
      <c r="L527" s="88">
        <f>SUM(F527:K527)</f>
        <v>138150.22000000003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222103.44</v>
      </c>
      <c r="G529" s="89">
        <f t="shared" ref="G529:L529" si="37">SUM(G526:G528)</f>
        <v>137769.99</v>
      </c>
      <c r="H529" s="89">
        <f t="shared" si="37"/>
        <v>24199.48</v>
      </c>
      <c r="I529" s="89">
        <f t="shared" si="37"/>
        <v>2405.13</v>
      </c>
      <c r="J529" s="89">
        <f t="shared" si="37"/>
        <v>4984.0999999999995</v>
      </c>
      <c r="K529" s="89">
        <f t="shared" si="37"/>
        <v>0</v>
      </c>
      <c r="L529" s="89">
        <f t="shared" si="37"/>
        <v>391462.14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22941.67</v>
      </c>
      <c r="G531" s="18">
        <v>8891.6200000000008</v>
      </c>
      <c r="H531" s="18">
        <v>129.97</v>
      </c>
      <c r="I531" s="18"/>
      <c r="J531" s="18"/>
      <c r="K531" s="18">
        <v>213.85</v>
      </c>
      <c r="L531" s="88">
        <f>SUM(F531:K531)</f>
        <v>32177.11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22941.66</v>
      </c>
      <c r="G532" s="18">
        <v>8891.61</v>
      </c>
      <c r="H532" s="18">
        <v>129.96</v>
      </c>
      <c r="I532" s="18"/>
      <c r="J532" s="18"/>
      <c r="K532" s="18">
        <v>213.85</v>
      </c>
      <c r="L532" s="88">
        <f>SUM(F532:K532)</f>
        <v>32177.079999999998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45883.33</v>
      </c>
      <c r="G534" s="89">
        <f t="shared" ref="G534:L534" si="38">SUM(G531:G533)</f>
        <v>17783.230000000003</v>
      </c>
      <c r="H534" s="89">
        <f t="shared" si="38"/>
        <v>259.93</v>
      </c>
      <c r="I534" s="89">
        <f t="shared" si="38"/>
        <v>0</v>
      </c>
      <c r="J534" s="89">
        <f t="shared" si="38"/>
        <v>0</v>
      </c>
      <c r="K534" s="89">
        <f t="shared" si="38"/>
        <v>427.7</v>
      </c>
      <c r="L534" s="89">
        <f t="shared" si="38"/>
        <v>64354.19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557.29999999999995</v>
      </c>
      <c r="I536" s="18"/>
      <c r="J536" s="18"/>
      <c r="K536" s="18"/>
      <c r="L536" s="88">
        <f>SUM(F536:K536)</f>
        <v>557.29999999999995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557.29999999999995</v>
      </c>
      <c r="I537" s="18"/>
      <c r="J537" s="18"/>
      <c r="K537" s="18"/>
      <c r="L537" s="88">
        <f>SUM(F537:K537)</f>
        <v>557.29999999999995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1114.5999999999999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1114.5999999999999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190751.83</v>
      </c>
      <c r="I541" s="18"/>
      <c r="J541" s="18"/>
      <c r="K541" s="18"/>
      <c r="L541" s="88">
        <f>SUM(F541:K541)</f>
        <v>190751.83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75267.03</v>
      </c>
      <c r="I542" s="18"/>
      <c r="J542" s="18"/>
      <c r="K542" s="18"/>
      <c r="L542" s="88">
        <f>SUM(F542:K542)</f>
        <v>75267.03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266018.86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266018.86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1824833.71</v>
      </c>
      <c r="G545" s="89">
        <f t="shared" ref="G545:L545" si="41">G524+G529+G534+G539+G544</f>
        <v>641423.06999999995</v>
      </c>
      <c r="H545" s="89">
        <f t="shared" si="41"/>
        <v>487631.83</v>
      </c>
      <c r="I545" s="89">
        <f t="shared" si="41"/>
        <v>21458.890000000003</v>
      </c>
      <c r="J545" s="89">
        <f t="shared" si="41"/>
        <v>9864.25</v>
      </c>
      <c r="K545" s="89">
        <f t="shared" si="41"/>
        <v>20427.7</v>
      </c>
      <c r="L545" s="89">
        <f t="shared" si="41"/>
        <v>3005639.45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1196653.3800000001</v>
      </c>
      <c r="G549" s="87">
        <f>L526</f>
        <v>253311.91999999998</v>
      </c>
      <c r="H549" s="87">
        <f>L531</f>
        <v>32177.11</v>
      </c>
      <c r="I549" s="87">
        <f>L536</f>
        <v>557.29999999999995</v>
      </c>
      <c r="J549" s="87">
        <f>L541</f>
        <v>190751.83</v>
      </c>
      <c r="K549" s="87">
        <f>SUM(F549:J549)</f>
        <v>1673451.5400000003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1086036.2799999998</v>
      </c>
      <c r="G550" s="87">
        <f>L527</f>
        <v>138150.22000000003</v>
      </c>
      <c r="H550" s="87">
        <f>L532</f>
        <v>32177.079999999998</v>
      </c>
      <c r="I550" s="87">
        <f>L537</f>
        <v>557.29999999999995</v>
      </c>
      <c r="J550" s="87">
        <f>L542</f>
        <v>75267.03</v>
      </c>
      <c r="K550" s="87">
        <f>SUM(F550:J550)</f>
        <v>1332187.9099999999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2282689.66</v>
      </c>
      <c r="G552" s="89">
        <f t="shared" si="42"/>
        <v>391462.14</v>
      </c>
      <c r="H552" s="89">
        <f t="shared" si="42"/>
        <v>64354.19</v>
      </c>
      <c r="I552" s="89">
        <f t="shared" si="42"/>
        <v>1114.5999999999999</v>
      </c>
      <c r="J552" s="89">
        <f t="shared" si="42"/>
        <v>266018.86</v>
      </c>
      <c r="K552" s="89">
        <f t="shared" si="42"/>
        <v>3005639.45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269.99</v>
      </c>
      <c r="G562" s="18">
        <v>57.96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327.95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567.49</v>
      </c>
      <c r="G563" s="18">
        <v>121.92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689.41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837.48</v>
      </c>
      <c r="G565" s="89">
        <f t="shared" si="44"/>
        <v>179.88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1017.3599999999999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46250</v>
      </c>
      <c r="G567" s="18">
        <v>31917.06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78167.06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45900</v>
      </c>
      <c r="G568" s="18">
        <v>31566.16</v>
      </c>
      <c r="H568" s="18">
        <v>0</v>
      </c>
      <c r="I568" s="18">
        <v>1413.84</v>
      </c>
      <c r="J568" s="18">
        <v>0</v>
      </c>
      <c r="K568" s="18">
        <v>0</v>
      </c>
      <c r="L568" s="88">
        <f>SUM(F568:K568)</f>
        <v>78880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92150</v>
      </c>
      <c r="G570" s="193">
        <f t="shared" ref="G570:L570" si="45">SUM(G567:G569)</f>
        <v>63483.22</v>
      </c>
      <c r="H570" s="193">
        <f t="shared" si="45"/>
        <v>0</v>
      </c>
      <c r="I570" s="193">
        <f t="shared" si="45"/>
        <v>1413.84</v>
      </c>
      <c r="J570" s="193">
        <f t="shared" si="45"/>
        <v>0</v>
      </c>
      <c r="K570" s="193">
        <f t="shared" si="45"/>
        <v>0</v>
      </c>
      <c r="L570" s="193">
        <f t="shared" si="45"/>
        <v>157047.06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92987.48</v>
      </c>
      <c r="G571" s="89">
        <f t="shared" ref="G571:L571" si="46">G560+G565+G570</f>
        <v>63663.1</v>
      </c>
      <c r="H571" s="89">
        <f t="shared" si="46"/>
        <v>0</v>
      </c>
      <c r="I571" s="89">
        <f t="shared" si="46"/>
        <v>1413.84</v>
      </c>
      <c r="J571" s="89">
        <f t="shared" si="46"/>
        <v>0</v>
      </c>
      <c r="K571" s="89">
        <f t="shared" si="46"/>
        <v>0</v>
      </c>
      <c r="L571" s="89">
        <f t="shared" si="46"/>
        <v>158064.41999999998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37219.03</v>
      </c>
      <c r="G582" s="18">
        <v>71322.67</v>
      </c>
      <c r="H582" s="18"/>
      <c r="I582" s="87">
        <f t="shared" si="47"/>
        <v>108541.7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>
        <v>0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245204.26</v>
      </c>
      <c r="I591" s="18">
        <v>244589.68</v>
      </c>
      <c r="J591" s="18"/>
      <c r="K591" s="104">
        <f t="shared" ref="K591:K597" si="48">SUM(H591:J591)</f>
        <v>489793.94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190751.83</v>
      </c>
      <c r="I592" s="18">
        <v>75267.03</v>
      </c>
      <c r="J592" s="18"/>
      <c r="K592" s="104">
        <f t="shared" si="48"/>
        <v>266018.86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11740.85</v>
      </c>
      <c r="J594" s="18"/>
      <c r="K594" s="104">
        <f t="shared" si="48"/>
        <v>11740.85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500</v>
      </c>
      <c r="I595" s="18">
        <v>1847.6</v>
      </c>
      <c r="J595" s="18"/>
      <c r="K595" s="104">
        <f t="shared" si="48"/>
        <v>2347.6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436456.08999999997</v>
      </c>
      <c r="I598" s="108">
        <f>SUM(I591:I597)</f>
        <v>333445.15999999992</v>
      </c>
      <c r="J598" s="108">
        <f>SUM(J591:J597)</f>
        <v>0</v>
      </c>
      <c r="K598" s="108">
        <f>SUM(K591:K597)</f>
        <v>769901.25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204722.85</v>
      </c>
      <c r="I604" s="18">
        <v>155731.62</v>
      </c>
      <c r="J604" s="18"/>
      <c r="K604" s="104">
        <f>SUM(H604:J604)</f>
        <v>360454.47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204722.85</v>
      </c>
      <c r="I605" s="108">
        <f>SUM(I602:I604)</f>
        <v>155731.62</v>
      </c>
      <c r="J605" s="108">
        <f>SUM(J602:J604)</f>
        <v>0</v>
      </c>
      <c r="K605" s="108">
        <f>SUM(K602:K604)</f>
        <v>360454.47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14065.84</v>
      </c>
      <c r="G611" s="18">
        <v>2503.3000000000002</v>
      </c>
      <c r="H611" s="18">
        <v>4520</v>
      </c>
      <c r="I611" s="18">
        <v>0</v>
      </c>
      <c r="J611" s="18">
        <v>0</v>
      </c>
      <c r="K611" s="18">
        <v>0</v>
      </c>
      <c r="L611" s="88">
        <f>SUM(F611:K611)</f>
        <v>21089.14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11830.65</v>
      </c>
      <c r="G612" s="18">
        <v>2193.19</v>
      </c>
      <c r="H612" s="18">
        <v>1657</v>
      </c>
      <c r="I612" s="18">
        <v>0</v>
      </c>
      <c r="J612" s="18">
        <v>0</v>
      </c>
      <c r="K612" s="18"/>
      <c r="L612" s="88">
        <f>SUM(F612:K612)</f>
        <v>15680.84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25896.489999999998</v>
      </c>
      <c r="G614" s="108">
        <f t="shared" si="49"/>
        <v>4696.49</v>
      </c>
      <c r="H614" s="108">
        <f t="shared" si="49"/>
        <v>6177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36769.979999999996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414009.1</v>
      </c>
      <c r="H617" s="109">
        <f>SUM(F52)</f>
        <v>414009.1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118783.18000000001</v>
      </c>
      <c r="H618" s="109">
        <f>SUM(G52)</f>
        <v>118783.18000000001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7319.0499999999956</v>
      </c>
      <c r="H619" s="109">
        <f>SUM(H52)</f>
        <v>7319.05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261920.53</v>
      </c>
      <c r="H621" s="109">
        <f>SUM(J52)</f>
        <v>261920.53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327546.99</v>
      </c>
      <c r="H622" s="109">
        <f>F476</f>
        <v>327546.99000000209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95667.49</v>
      </c>
      <c r="H623" s="109">
        <f>G476</f>
        <v>95667.489999999991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6170.62</v>
      </c>
      <c r="H624" s="109">
        <f>H476</f>
        <v>6170.6199999999953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261920.53</v>
      </c>
      <c r="H626" s="109">
        <f>J476</f>
        <v>261920.53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13618977.130000001</v>
      </c>
      <c r="H627" s="104">
        <f>SUM(F468)</f>
        <v>13618977.130000001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362444.55000000005</v>
      </c>
      <c r="H628" s="104">
        <f>SUM(G468)</f>
        <v>362444.55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94998.53</v>
      </c>
      <c r="H629" s="104">
        <f>SUM(H468)</f>
        <v>94998.53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25445.31</v>
      </c>
      <c r="H631" s="104">
        <f>SUM(J468)</f>
        <v>25445.31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13805527.870000003</v>
      </c>
      <c r="H632" s="104">
        <f>SUM(F472)</f>
        <v>13805527.869999999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91771.360000000015</v>
      </c>
      <c r="H633" s="104">
        <f>SUM(H472)</f>
        <v>91771.36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3170.73</v>
      </c>
      <c r="H634" s="104">
        <f>I369</f>
        <v>3170.73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355247.35000000003</v>
      </c>
      <c r="H635" s="104">
        <f>SUM(G472)</f>
        <v>355247.35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25445.309999999998</v>
      </c>
      <c r="H637" s="164">
        <f>SUM(J468)</f>
        <v>25445.31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261920.53</v>
      </c>
      <c r="H640" s="104">
        <f>SUM(G461)</f>
        <v>261920.53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261920.53</v>
      </c>
      <c r="H642" s="104">
        <f>SUM(I461)</f>
        <v>261920.53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445.31</v>
      </c>
      <c r="H644" s="104">
        <f>H408</f>
        <v>445.30999999999995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25445.31</v>
      </c>
      <c r="H646" s="104">
        <f>L408</f>
        <v>25445.309999999998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769901.25</v>
      </c>
      <c r="H647" s="104">
        <f>L208+L226+L244</f>
        <v>769901.25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360454.47</v>
      </c>
      <c r="H648" s="104">
        <f>(J257+J338)-(J255+J336)</f>
        <v>360454.47000000003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436456.09</v>
      </c>
      <c r="H649" s="104">
        <f>H598</f>
        <v>436456.08999999997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333445.15999999997</v>
      </c>
      <c r="H650" s="104">
        <f>I598</f>
        <v>333445.15999999992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6478953.7300000014</v>
      </c>
      <c r="G660" s="19">
        <f>(L229+L309+L359)</f>
        <v>6339125.6600000011</v>
      </c>
      <c r="H660" s="19">
        <f>(L247+L328+L360)</f>
        <v>0</v>
      </c>
      <c r="I660" s="19">
        <f>SUM(F660:H660)</f>
        <v>12818079.390000002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108039.89662066616</v>
      </c>
      <c r="G661" s="19">
        <f>(L359/IF(SUM(L358:L360)=0,1,SUM(L358:L360))*(SUM(G97:G110)))</f>
        <v>96433.693379333869</v>
      </c>
      <c r="H661" s="19">
        <f>(L360/IF(SUM(L358:L360)=0,1,SUM(L358:L360))*(SUM(G97:G110)))</f>
        <v>0</v>
      </c>
      <c r="I661" s="19">
        <f>SUM(F661:H661)</f>
        <v>204473.59000000003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436456.09</v>
      </c>
      <c r="G662" s="19">
        <f>(L226+L306)-(J226+J306)</f>
        <v>333445.15999999997</v>
      </c>
      <c r="H662" s="19">
        <f>(L244+L325)-(J244+J325)</f>
        <v>0</v>
      </c>
      <c r="I662" s="19">
        <f>SUM(F662:H662)</f>
        <v>769901.25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263031.02</v>
      </c>
      <c r="G663" s="199">
        <f>SUM(G575:G587)+SUM(I602:I604)+L612</f>
        <v>242735.12999999998</v>
      </c>
      <c r="H663" s="199">
        <f>SUM(H575:H587)+SUM(J602:J604)+L613</f>
        <v>0</v>
      </c>
      <c r="I663" s="19">
        <f>SUM(F663:H663)</f>
        <v>505766.15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5671426.7233793354</v>
      </c>
      <c r="G664" s="19">
        <f>G660-SUM(G661:G663)</f>
        <v>5666511.6766206669</v>
      </c>
      <c r="H664" s="19">
        <f>H660-SUM(H661:H663)</f>
        <v>0</v>
      </c>
      <c r="I664" s="19">
        <f>I660-SUM(I661:I663)</f>
        <v>11337938.400000002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469.79</v>
      </c>
      <c r="G665" s="248">
        <v>489.53</v>
      </c>
      <c r="H665" s="248"/>
      <c r="I665" s="19">
        <f>SUM(F665:H665)</f>
        <v>959.31999999999994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12072.26</v>
      </c>
      <c r="G667" s="19">
        <f>ROUND(G664/G665,2)</f>
        <v>11575.41</v>
      </c>
      <c r="H667" s="19" t="e">
        <f>ROUND(H664/H665,2)</f>
        <v>#DIV/0!</v>
      </c>
      <c r="I667" s="19">
        <f>ROUND(I664/I665,2)</f>
        <v>11818.72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12072.26</v>
      </c>
      <c r="G672" s="19">
        <f>ROUND((G664+G669)/(G665+G670),2)</f>
        <v>11575.41</v>
      </c>
      <c r="H672" s="19" t="e">
        <f>ROUND((H664+H669)/(H665+H670),2)</f>
        <v>#DIV/0!</v>
      </c>
      <c r="I672" s="19">
        <f>ROUND((I664+I669)/(I665+I670),2)</f>
        <v>11818.72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9" workbookViewId="0">
      <selection activeCell="B13" sqref="B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WEARE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3278585.3600000003</v>
      </c>
      <c r="C9" s="229">
        <f>'DOE25'!G197+'DOE25'!G215+'DOE25'!G233+'DOE25'!G276+'DOE25'!G295+'DOE25'!G314</f>
        <v>1520626.6400000001</v>
      </c>
    </row>
    <row r="10" spans="1:3" x14ac:dyDescent="0.2">
      <c r="A10" t="s">
        <v>779</v>
      </c>
      <c r="B10" s="240">
        <v>3018767.32</v>
      </c>
      <c r="C10" s="240">
        <v>1497666.9</v>
      </c>
    </row>
    <row r="11" spans="1:3" x14ac:dyDescent="0.2">
      <c r="A11" t="s">
        <v>780</v>
      </c>
      <c r="B11" s="240">
        <v>125910.3</v>
      </c>
      <c r="C11" s="240">
        <v>12720.03</v>
      </c>
    </row>
    <row r="12" spans="1:3" x14ac:dyDescent="0.2">
      <c r="A12" t="s">
        <v>781</v>
      </c>
      <c r="B12" s="240">
        <f>133907.92-0.18</f>
        <v>133907.74000000002</v>
      </c>
      <c r="C12" s="240">
        <v>10239.709999999999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3278585.36</v>
      </c>
      <c r="C13" s="231">
        <f>SUM(C10:C12)</f>
        <v>1520626.64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1556846.94</v>
      </c>
      <c r="C18" s="229">
        <f>'DOE25'!G198+'DOE25'!G216+'DOE25'!G234+'DOE25'!G277+'DOE25'!G296+'DOE25'!G315</f>
        <v>485869.85</v>
      </c>
    </row>
    <row r="19" spans="1:3" x14ac:dyDescent="0.2">
      <c r="A19" t="s">
        <v>779</v>
      </c>
      <c r="B19" s="240">
        <v>758991.37</v>
      </c>
      <c r="C19" s="240">
        <v>402022.13</v>
      </c>
    </row>
    <row r="20" spans="1:3" x14ac:dyDescent="0.2">
      <c r="A20" t="s">
        <v>780</v>
      </c>
      <c r="B20" s="240">
        <v>748960.29</v>
      </c>
      <c r="C20" s="240">
        <v>62786.96</v>
      </c>
    </row>
    <row r="21" spans="1:3" x14ac:dyDescent="0.2">
      <c r="A21" t="s">
        <v>781</v>
      </c>
      <c r="B21" s="240">
        <v>48895.28</v>
      </c>
      <c r="C21" s="240">
        <v>21060.76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1556846.9400000002</v>
      </c>
      <c r="C22" s="231">
        <f>SUM(C19:C21)</f>
        <v>485869.85000000003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89370.42</v>
      </c>
      <c r="C36" s="235">
        <f>'DOE25'!G200+'DOE25'!G218+'DOE25'!G236+'DOE25'!G279+'DOE25'!G298+'DOE25'!G317</f>
        <v>13415.73</v>
      </c>
    </row>
    <row r="37" spans="1:3" x14ac:dyDescent="0.2">
      <c r="A37" t="s">
        <v>779</v>
      </c>
      <c r="B37" s="240">
        <v>46947</v>
      </c>
      <c r="C37" s="240">
        <v>8988.5400000000009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42423.42</v>
      </c>
      <c r="C39" s="240">
        <v>4427.1899999999996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89370.42</v>
      </c>
      <c r="C40" s="231">
        <f>SUM(C37:C39)</f>
        <v>13415.73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WEARE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7472762.2300000004</v>
      </c>
      <c r="D5" s="20">
        <f>SUM('DOE25'!L197:L200)+SUM('DOE25'!L215:L218)+SUM('DOE25'!L233:L236)-F5-G5</f>
        <v>7343003.2200000007</v>
      </c>
      <c r="E5" s="243"/>
      <c r="F5" s="255">
        <f>SUM('DOE25'!J197:J200)+SUM('DOE25'!J215:J218)+SUM('DOE25'!J233:J236)</f>
        <v>104004.01</v>
      </c>
      <c r="G5" s="53">
        <f>SUM('DOE25'!K197:K200)+SUM('DOE25'!K215:K218)+SUM('DOE25'!K233:K236)</f>
        <v>25755</v>
      </c>
      <c r="H5" s="259"/>
    </row>
    <row r="6" spans="1:9" x14ac:dyDescent="0.2">
      <c r="A6" s="32">
        <v>2100</v>
      </c>
      <c r="B6" t="s">
        <v>801</v>
      </c>
      <c r="C6" s="245">
        <f t="shared" si="0"/>
        <v>875374.83</v>
      </c>
      <c r="D6" s="20">
        <f>'DOE25'!L202+'DOE25'!L220+'DOE25'!L238-F6-G6</f>
        <v>870228.14999999991</v>
      </c>
      <c r="E6" s="243"/>
      <c r="F6" s="255">
        <f>'DOE25'!J202+'DOE25'!J220+'DOE25'!J238</f>
        <v>5046.6799999999994</v>
      </c>
      <c r="G6" s="53">
        <f>'DOE25'!K202+'DOE25'!K220+'DOE25'!K238</f>
        <v>100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629166.7300000001</v>
      </c>
      <c r="D7" s="20">
        <f>'DOE25'!L203+'DOE25'!L221+'DOE25'!L239-F7-G7</f>
        <v>357359.12</v>
      </c>
      <c r="E7" s="243"/>
      <c r="F7" s="255">
        <f>'DOE25'!J203+'DOE25'!J221+'DOE25'!J239</f>
        <v>225249.7</v>
      </c>
      <c r="G7" s="53">
        <f>'DOE25'!K203+'DOE25'!K221+'DOE25'!K239</f>
        <v>46557.91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367602.68999999994</v>
      </c>
      <c r="D8" s="243"/>
      <c r="E8" s="20">
        <f>'DOE25'!L204+'DOE25'!L222+'DOE25'!L240-F8-G8-D9-D11</f>
        <v>355915.14999999997</v>
      </c>
      <c r="F8" s="255">
        <f>'DOE25'!J204+'DOE25'!J222+'DOE25'!J240</f>
        <v>0</v>
      </c>
      <c r="G8" s="53">
        <f>'DOE25'!K204+'DOE25'!K222+'DOE25'!K240</f>
        <v>11687.54</v>
      </c>
      <c r="H8" s="259"/>
    </row>
    <row r="9" spans="1:9" x14ac:dyDescent="0.2">
      <c r="A9" s="32">
        <v>2310</v>
      </c>
      <c r="B9" t="s">
        <v>818</v>
      </c>
      <c r="C9" s="245">
        <f t="shared" si="0"/>
        <v>59392.11</v>
      </c>
      <c r="D9" s="244">
        <v>59392.11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6800</v>
      </c>
      <c r="D10" s="243"/>
      <c r="E10" s="244">
        <v>6800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140895.93</v>
      </c>
      <c r="D11" s="244">
        <v>140895.93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784747.62</v>
      </c>
      <c r="D12" s="20">
        <f>'DOE25'!L205+'DOE25'!L223+'DOE25'!L241-F12-G12</f>
        <v>781178.7</v>
      </c>
      <c r="E12" s="243"/>
      <c r="F12" s="255">
        <f>'DOE25'!J205+'DOE25'!J223+'DOE25'!J241</f>
        <v>350</v>
      </c>
      <c r="G12" s="53">
        <f>'DOE25'!K205+'DOE25'!K223+'DOE25'!K241</f>
        <v>3218.92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1271217.29</v>
      </c>
      <c r="D14" s="20">
        <f>'DOE25'!L207+'DOE25'!L225+'DOE25'!L243-F14-G14</f>
        <v>1245263.21</v>
      </c>
      <c r="E14" s="243"/>
      <c r="F14" s="255">
        <f>'DOE25'!J207+'DOE25'!J225+'DOE25'!J243</f>
        <v>25804.080000000002</v>
      </c>
      <c r="G14" s="53">
        <f>'DOE25'!K207+'DOE25'!K225+'DOE25'!K243</f>
        <v>150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769901.25</v>
      </c>
      <c r="D15" s="20">
        <f>'DOE25'!L208+'DOE25'!L226+'DOE25'!L244-F15-G15</f>
        <v>769901.25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1409467.19</v>
      </c>
      <c r="D25" s="243"/>
      <c r="E25" s="243"/>
      <c r="F25" s="258"/>
      <c r="G25" s="256"/>
      <c r="H25" s="257">
        <f>'DOE25'!L260+'DOE25'!L261+'DOE25'!L341+'DOE25'!L342</f>
        <v>1409467.19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355247.35000000003</v>
      </c>
      <c r="D29" s="20">
        <f>'DOE25'!L358+'DOE25'!L359+'DOE25'!L360-'DOE25'!I367-F29-G29</f>
        <v>334897.30000000005</v>
      </c>
      <c r="E29" s="243"/>
      <c r="F29" s="255">
        <f>'DOE25'!J358+'DOE25'!J359+'DOE25'!J360</f>
        <v>18981.14</v>
      </c>
      <c r="G29" s="53">
        <f>'DOE25'!K358+'DOE25'!K359+'DOE25'!K360</f>
        <v>1368.91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91771.360000000015</v>
      </c>
      <c r="D31" s="20">
        <f>'DOE25'!L290+'DOE25'!L309+'DOE25'!L328+'DOE25'!L333+'DOE25'!L334+'DOE25'!L335-F31-G31</f>
        <v>90059.820000000022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1711.54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11992178.809999999</v>
      </c>
      <c r="E33" s="246">
        <f>SUM(E5:E31)</f>
        <v>362715.14999999997</v>
      </c>
      <c r="F33" s="246">
        <f>SUM(F5:F31)</f>
        <v>379435.61000000004</v>
      </c>
      <c r="G33" s="246">
        <f>SUM(G5:G31)</f>
        <v>90549.82</v>
      </c>
      <c r="H33" s="246">
        <f>SUM(H5:H31)</f>
        <v>1409467.19</v>
      </c>
    </row>
    <row r="35" spans="2:8" ht="12" thickBot="1" x14ac:dyDescent="0.25">
      <c r="B35" s="253" t="s">
        <v>847</v>
      </c>
      <c r="D35" s="254">
        <f>E33</f>
        <v>362715.14999999997</v>
      </c>
      <c r="E35" s="249"/>
    </row>
    <row r="36" spans="2:8" ht="12" thickTop="1" x14ac:dyDescent="0.2">
      <c r="B36" t="s">
        <v>815</v>
      </c>
      <c r="D36" s="20">
        <f>D33</f>
        <v>11992178.809999999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6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373437.76</v>
      </c>
      <c r="D8" s="95">
        <f>'DOE25'!G9</f>
        <v>92296.960000000006</v>
      </c>
      <c r="E8" s="95">
        <f>'DOE25'!H9</f>
        <v>-26678.04</v>
      </c>
      <c r="F8" s="95">
        <f>'DOE25'!I9</f>
        <v>0</v>
      </c>
      <c r="G8" s="95">
        <f>'DOE25'!J9</f>
        <v>261920.53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1631.73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38939.61</v>
      </c>
      <c r="D12" s="95">
        <f>'DOE25'!G13</f>
        <v>13534.54</v>
      </c>
      <c r="E12" s="95">
        <f>'DOE25'!H13</f>
        <v>33997.089999999997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1631.73</v>
      </c>
      <c r="D13" s="95">
        <f>'DOE25'!G14</f>
        <v>11319.95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414009.1</v>
      </c>
      <c r="D18" s="41">
        <f>SUM(D8:D17)</f>
        <v>118783.18000000001</v>
      </c>
      <c r="E18" s="41">
        <f>SUM(E8:E17)</f>
        <v>7319.0499999999956</v>
      </c>
      <c r="F18" s="41">
        <f>SUM(F8:F17)</f>
        <v>0</v>
      </c>
      <c r="G18" s="41">
        <f>SUM(G8:G17)</f>
        <v>261920.53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1631.73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720</v>
      </c>
      <c r="D22" s="95">
        <f>'DOE25'!G23</f>
        <v>768.61</v>
      </c>
      <c r="E22" s="95">
        <f>'DOE25'!H23</f>
        <v>1148.43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54088.35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9018.6</v>
      </c>
      <c r="D24" s="95">
        <f>'DOE25'!G25</f>
        <v>15000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21003.43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7347.08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86462.11</v>
      </c>
      <c r="D31" s="41">
        <f>SUM(D21:D30)</f>
        <v>23115.690000000002</v>
      </c>
      <c r="E31" s="41">
        <f>SUM(E21:E30)</f>
        <v>1148.43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95667.49</v>
      </c>
      <c r="E47" s="95">
        <f>'DOE25'!H48</f>
        <v>6170.62</v>
      </c>
      <c r="F47" s="95">
        <f>'DOE25'!I48</f>
        <v>0</v>
      </c>
      <c r="G47" s="95">
        <f>'DOE25'!J48</f>
        <v>261920.53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277546.99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327546.99</v>
      </c>
      <c r="D50" s="41">
        <f>SUM(D34:D49)</f>
        <v>95667.49</v>
      </c>
      <c r="E50" s="41">
        <f>SUM(E34:E49)</f>
        <v>6170.62</v>
      </c>
      <c r="F50" s="41">
        <f>SUM(F34:F49)</f>
        <v>0</v>
      </c>
      <c r="G50" s="41">
        <f>SUM(G34:G49)</f>
        <v>261920.53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414009.1</v>
      </c>
      <c r="D51" s="41">
        <f>D50+D31</f>
        <v>118783.18000000001</v>
      </c>
      <c r="E51" s="41">
        <f>E50+E31</f>
        <v>7319.05</v>
      </c>
      <c r="F51" s="41">
        <f>F50+F31</f>
        <v>0</v>
      </c>
      <c r="G51" s="41">
        <f>G50+G31</f>
        <v>261920.53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6889026</v>
      </c>
      <c r="D56" s="95">
        <f>'DOE25'!G60</f>
        <v>38246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22262.400000000001</v>
      </c>
      <c r="D57" s="24" t="s">
        <v>289</v>
      </c>
      <c r="E57" s="95">
        <f>'DOE25'!H79</f>
        <v>36235.85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76468.490000000005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445.31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193153.64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170384.49</v>
      </c>
      <c r="D61" s="95">
        <f>SUM('DOE25'!G98:G110)</f>
        <v>11319.95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269115.38</v>
      </c>
      <c r="D62" s="130">
        <f>SUM(D57:D61)</f>
        <v>204473.59000000003</v>
      </c>
      <c r="E62" s="130">
        <f>SUM(E57:E61)</f>
        <v>36235.85</v>
      </c>
      <c r="F62" s="130">
        <f>SUM(F57:F61)</f>
        <v>0</v>
      </c>
      <c r="G62" s="130">
        <f>SUM(G57:G61)</f>
        <v>445.31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7158141.3799999999</v>
      </c>
      <c r="D63" s="22">
        <f>D56+D62</f>
        <v>242719.59000000003</v>
      </c>
      <c r="E63" s="22">
        <f>E56+E62</f>
        <v>36235.85</v>
      </c>
      <c r="F63" s="22">
        <f>F56+F62</f>
        <v>0</v>
      </c>
      <c r="G63" s="22">
        <f>G56+G62</f>
        <v>445.31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4674156.8600000003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1159913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5834069.8600000003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385686.4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91662.41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4927.5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477348.81000000006</v>
      </c>
      <c r="D78" s="130">
        <f>SUM(D72:D77)</f>
        <v>4927.5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6311418.6699999999</v>
      </c>
      <c r="D81" s="130">
        <f>SUM(D79:D80)+D78+D70</f>
        <v>4927.5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149417.07999999999</v>
      </c>
      <c r="D88" s="95">
        <f>SUM('DOE25'!G153:G161)</f>
        <v>114797.46</v>
      </c>
      <c r="E88" s="95">
        <f>SUM('DOE25'!H153:H161)</f>
        <v>58762.68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149417.07999999999</v>
      </c>
      <c r="D91" s="131">
        <f>SUM(D85:D90)</f>
        <v>114797.46</v>
      </c>
      <c r="E91" s="131">
        <f>SUM(E85:E90)</f>
        <v>58762.68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13618977.130000001</v>
      </c>
      <c r="D104" s="86">
        <f>D63+D81+D91+D103</f>
        <v>362444.55000000005</v>
      </c>
      <c r="E104" s="86">
        <f>E63+E81+E91+E103</f>
        <v>94998.53</v>
      </c>
      <c r="F104" s="86">
        <f>F63+F81+F91+F103</f>
        <v>0</v>
      </c>
      <c r="G104" s="86">
        <f>G63+G81+G103</f>
        <v>25445.31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5109480.99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2282689.66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80091.58</v>
      </c>
      <c r="D112" s="24" t="s">
        <v>289</v>
      </c>
      <c r="E112" s="95">
        <f>+('DOE25'!L279)+('DOE25'!L298)+('DOE25'!L317)</f>
        <v>33008.68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7472762.2300000004</v>
      </c>
      <c r="D115" s="86">
        <f>SUM(D109:D114)</f>
        <v>0</v>
      </c>
      <c r="E115" s="86">
        <f>SUM(E109:E114)</f>
        <v>33008.68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875374.83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629166.73</v>
      </c>
      <c r="D119" s="24" t="s">
        <v>289</v>
      </c>
      <c r="E119" s="95">
        <f>+('DOE25'!L282)+('DOE25'!L301)+('DOE25'!L320)</f>
        <v>58762.680000000008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567890.73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784747.62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1271217.29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769901.25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355247.35000000003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4898298.45</v>
      </c>
      <c r="D128" s="86">
        <f>SUM(D118:D127)</f>
        <v>355247.35000000003</v>
      </c>
      <c r="E128" s="86">
        <f>SUM(E118:E127)</f>
        <v>58762.680000000008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987745.18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421722.01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95.89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25349.42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-445.30999999999767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1434467.1899999997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13805527.869999999</v>
      </c>
      <c r="D145" s="86">
        <f>(D115+D128+D144)</f>
        <v>355247.35000000003</v>
      </c>
      <c r="E145" s="86">
        <f>(E115+E128+E144)</f>
        <v>91771.360000000015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6/23/05</v>
      </c>
      <c r="C152" s="152" t="str">
        <f>'DOE25'!G491</f>
        <v>7/1/13</v>
      </c>
      <c r="D152" s="152" t="str">
        <f>'DOE25'!H491</f>
        <v>8/1/2015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8/1/25</v>
      </c>
      <c r="C153" s="152" t="str">
        <f>'DOE25'!G492</f>
        <v>9/15/17</v>
      </c>
      <c r="D153" s="152" t="str">
        <f>'DOE25'!H492</f>
        <v>6/30/26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18000000</v>
      </c>
      <c r="C154" s="137">
        <f>'DOE25'!G493</f>
        <v>300000</v>
      </c>
      <c r="D154" s="137">
        <f>'DOE25'!H493</f>
        <v>10217500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3.5</v>
      </c>
      <c r="C155" s="137">
        <f>'DOE25'!G494</f>
        <v>2.25</v>
      </c>
      <c r="D155" s="137">
        <f>'DOE25'!H494</f>
        <v>1.88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10800000</v>
      </c>
      <c r="C156" s="137">
        <f>'DOE25'!G495</f>
        <v>87745.18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10887745.18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10217500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10217500</v>
      </c>
    </row>
    <row r="158" spans="1:9" x14ac:dyDescent="0.2">
      <c r="A158" s="22" t="s">
        <v>34</v>
      </c>
      <c r="B158" s="137">
        <f>'DOE25'!F497</f>
        <v>900000</v>
      </c>
      <c r="C158" s="137">
        <f>'DOE25'!G497</f>
        <v>87745.18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987745.17999999993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10217500</v>
      </c>
      <c r="E159" s="137">
        <f>'DOE25'!I498</f>
        <v>0</v>
      </c>
      <c r="F159" s="137">
        <f>'DOE25'!J498</f>
        <v>0</v>
      </c>
      <c r="G159" s="138">
        <f t="shared" si="0"/>
        <v>10217500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1006138</v>
      </c>
      <c r="E160" s="137">
        <f>'DOE25'!I499</f>
        <v>0</v>
      </c>
      <c r="F160" s="137">
        <f>'DOE25'!J499</f>
        <v>0</v>
      </c>
      <c r="G160" s="138">
        <f t="shared" si="0"/>
        <v>1006138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11223638</v>
      </c>
      <c r="E161" s="137">
        <f>'DOE25'!I500</f>
        <v>0</v>
      </c>
      <c r="F161" s="137">
        <f>'DOE25'!J500</f>
        <v>0</v>
      </c>
      <c r="G161" s="138">
        <f t="shared" si="0"/>
        <v>11223638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1117500</v>
      </c>
      <c r="E162" s="137">
        <f>'DOE25'!I501</f>
        <v>0</v>
      </c>
      <c r="F162" s="137">
        <f>'DOE25'!J501</f>
        <v>0</v>
      </c>
      <c r="G162" s="138">
        <f t="shared" si="0"/>
        <v>1117500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168738</v>
      </c>
      <c r="E163" s="137">
        <f>'DOE25'!I502</f>
        <v>0</v>
      </c>
      <c r="F163" s="137">
        <f>'DOE25'!J502</f>
        <v>0</v>
      </c>
      <c r="G163" s="138">
        <f t="shared" si="0"/>
        <v>168738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1286238</v>
      </c>
      <c r="E164" s="137">
        <f>'DOE25'!I503</f>
        <v>0</v>
      </c>
      <c r="F164" s="137">
        <f>'DOE25'!J503</f>
        <v>0</v>
      </c>
      <c r="G164" s="138">
        <f t="shared" si="0"/>
        <v>1286238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WEARE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12072</v>
      </c>
    </row>
    <row r="5" spans="1:4" x14ac:dyDescent="0.2">
      <c r="B5" t="s">
        <v>704</v>
      </c>
      <c r="C5" s="179">
        <f>IF('DOE25'!G665+'DOE25'!G670=0,0,ROUND('DOE25'!G672,0))</f>
        <v>11575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11819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5109481</v>
      </c>
      <c r="D10" s="182">
        <f>ROUND((C10/$C$28)*100,1)</f>
        <v>39.200000000000003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2282690</v>
      </c>
      <c r="D11" s="182">
        <f>ROUND((C11/$C$28)*100,1)</f>
        <v>17.5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500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113100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875375</v>
      </c>
      <c r="D15" s="182">
        <f t="shared" ref="D15:D27" si="0">ROUND((C15/$C$28)*100,1)</f>
        <v>6.7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687929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567891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784748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1271217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769901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421722</v>
      </c>
      <c r="D25" s="182">
        <f t="shared" si="0"/>
        <v>3.2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150773.40999999997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13035327.41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13035327.41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987745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6927272</v>
      </c>
      <c r="D35" s="182">
        <f t="shared" ref="D35:D40" si="1">ROUND((C35/$C$41)*100,1)</f>
        <v>49.9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305796.54000000004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5834070</v>
      </c>
      <c r="D37" s="182">
        <f t="shared" si="1"/>
        <v>42.1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482276</v>
      </c>
      <c r="D38" s="182">
        <f t="shared" si="1"/>
        <v>3.5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322977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13872391.539999999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WEARE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2015-08-25T18:42:44Z</cp:lastPrinted>
  <dcterms:created xsi:type="dcterms:W3CDTF">1997-12-04T19:04:30Z</dcterms:created>
  <dcterms:modified xsi:type="dcterms:W3CDTF">2015-08-25T18:53:09Z</dcterms:modified>
</cp:coreProperties>
</file>