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G459" i="1"/>
  <c r="G440" i="1"/>
  <c r="H604" i="1"/>
  <c r="K266" i="1"/>
  <c r="J179" i="1"/>
  <c r="J468" i="1"/>
  <c r="H526" i="1"/>
  <c r="G521" i="1"/>
  <c r="F521" i="1"/>
  <c r="G526" i="1"/>
  <c r="F526" i="1"/>
  <c r="H521" i="1"/>
  <c r="I521" i="1"/>
  <c r="F499" i="1"/>
  <c r="I358" i="1"/>
  <c r="H358" i="1"/>
  <c r="G358" i="1"/>
  <c r="F358" i="1"/>
  <c r="H282" i="1"/>
  <c r="G282" i="1"/>
  <c r="F282" i="1"/>
  <c r="G277" i="1"/>
  <c r="F277" i="1"/>
  <c r="I276" i="1"/>
  <c r="G276" i="1"/>
  <c r="F276" i="1"/>
  <c r="I205" i="1"/>
  <c r="I203" i="1"/>
  <c r="I202" i="1"/>
  <c r="H208" i="1"/>
  <c r="H204" i="1"/>
  <c r="H202" i="1"/>
  <c r="G204" i="1"/>
  <c r="G203" i="1"/>
  <c r="G202" i="1"/>
  <c r="G200" i="1"/>
  <c r="F204" i="1"/>
  <c r="F203" i="1"/>
  <c r="F202" i="1"/>
  <c r="F200" i="1"/>
  <c r="H155" i="1"/>
  <c r="H159" i="1"/>
  <c r="H154" i="1"/>
  <c r="G97" i="1"/>
  <c r="F110" i="1"/>
  <c r="J96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D50" i="2" s="1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90" i="1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L250" i="1"/>
  <c r="L332" i="1"/>
  <c r="L254" i="1"/>
  <c r="L268" i="1"/>
  <c r="L269" i="1"/>
  <c r="L349" i="1"/>
  <c r="L350" i="1"/>
  <c r="I665" i="1"/>
  <c r="I670" i="1"/>
  <c r="L229" i="1"/>
  <c r="F662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8" i="2" s="1"/>
  <c r="E121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H460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H641" i="1"/>
  <c r="G643" i="1"/>
  <c r="H643" i="1"/>
  <c r="G644" i="1"/>
  <c r="H644" i="1"/>
  <c r="G649" i="1"/>
  <c r="J649" i="1" s="1"/>
  <c r="G650" i="1"/>
  <c r="G652" i="1"/>
  <c r="H652" i="1"/>
  <c r="G653" i="1"/>
  <c r="H653" i="1"/>
  <c r="G654" i="1"/>
  <c r="H654" i="1"/>
  <c r="H655" i="1"/>
  <c r="F192" i="1"/>
  <c r="L256" i="1"/>
  <c r="C26" i="10"/>
  <c r="L328" i="1"/>
  <c r="A40" i="12"/>
  <c r="D62" i="2"/>
  <c r="D63" i="2" s="1"/>
  <c r="D18" i="13"/>
  <c r="C18" i="13" s="1"/>
  <c r="D18" i="2"/>
  <c r="D17" i="13"/>
  <c r="C17" i="13" s="1"/>
  <c r="F78" i="2"/>
  <c r="F81" i="2" s="1"/>
  <c r="F18" i="2"/>
  <c r="E103" i="2"/>
  <c r="D91" i="2"/>
  <c r="E62" i="2"/>
  <c r="E63" i="2" s="1"/>
  <c r="D19" i="13"/>
  <c r="C19" i="13" s="1"/>
  <c r="E78" i="2"/>
  <c r="E81" i="2" s="1"/>
  <c r="L427" i="1"/>
  <c r="H112" i="1"/>
  <c r="J641" i="1"/>
  <c r="J571" i="1"/>
  <c r="K571" i="1"/>
  <c r="L433" i="1"/>
  <c r="L419" i="1"/>
  <c r="I169" i="1"/>
  <c r="H169" i="1"/>
  <c r="J643" i="1"/>
  <c r="I476" i="1"/>
  <c r="H625" i="1" s="1"/>
  <c r="G338" i="1"/>
  <c r="G352" i="1" s="1"/>
  <c r="F169" i="1"/>
  <c r="J140" i="1"/>
  <c r="F571" i="1"/>
  <c r="I552" i="1"/>
  <c r="K550" i="1"/>
  <c r="G22" i="2"/>
  <c r="K545" i="1"/>
  <c r="H552" i="1"/>
  <c r="C29" i="10"/>
  <c r="H140" i="1"/>
  <c r="L393" i="1"/>
  <c r="F22" i="13"/>
  <c r="H571" i="1"/>
  <c r="L560" i="1"/>
  <c r="J545" i="1"/>
  <c r="H338" i="1"/>
  <c r="H352" i="1" s="1"/>
  <c r="F338" i="1"/>
  <c r="F352" i="1" s="1"/>
  <c r="G192" i="1"/>
  <c r="H192" i="1"/>
  <c r="F552" i="1"/>
  <c r="C35" i="10"/>
  <c r="L309" i="1"/>
  <c r="E16" i="13"/>
  <c r="C16" i="13" s="1"/>
  <c r="L570" i="1"/>
  <c r="I571" i="1"/>
  <c r="G36" i="2"/>
  <c r="L565" i="1"/>
  <c r="G545" i="1"/>
  <c r="K551" i="1"/>
  <c r="C22" i="13"/>
  <c r="C138" i="2"/>
  <c r="A13" i="12" l="1"/>
  <c r="G645" i="1"/>
  <c r="J645" i="1" s="1"/>
  <c r="J655" i="1"/>
  <c r="K352" i="1"/>
  <c r="K598" i="1"/>
  <c r="G647" i="1" s="1"/>
  <c r="H545" i="1"/>
  <c r="K549" i="1"/>
  <c r="K552" i="1" s="1"/>
  <c r="L524" i="1"/>
  <c r="L545" i="1" s="1"/>
  <c r="K503" i="1"/>
  <c r="G161" i="2"/>
  <c r="K500" i="1"/>
  <c r="H476" i="1"/>
  <c r="H624" i="1" s="1"/>
  <c r="J624" i="1" s="1"/>
  <c r="G476" i="1"/>
  <c r="H623" i="1" s="1"/>
  <c r="J623" i="1" s="1"/>
  <c r="F476" i="1"/>
  <c r="H622" i="1" s="1"/>
  <c r="J640" i="1"/>
  <c r="I460" i="1"/>
  <c r="I461" i="1" s="1"/>
  <c r="H642" i="1" s="1"/>
  <c r="J642" i="1" s="1"/>
  <c r="J639" i="1"/>
  <c r="I446" i="1"/>
  <c r="G642" i="1" s="1"/>
  <c r="J644" i="1"/>
  <c r="L382" i="1"/>
  <c r="G636" i="1" s="1"/>
  <c r="J636" i="1" s="1"/>
  <c r="I369" i="1"/>
  <c r="H634" i="1" s="1"/>
  <c r="J634" i="1"/>
  <c r="D127" i="2"/>
  <c r="D128" i="2" s="1"/>
  <c r="D29" i="13"/>
  <c r="C29" i="13" s="1"/>
  <c r="F661" i="1"/>
  <c r="G661" i="1"/>
  <c r="L362" i="1"/>
  <c r="C27" i="10" s="1"/>
  <c r="D145" i="2"/>
  <c r="C19" i="10"/>
  <c r="C17" i="10"/>
  <c r="C16" i="10"/>
  <c r="E115" i="2"/>
  <c r="J338" i="1"/>
  <c r="J352" i="1" s="1"/>
  <c r="H647" i="1"/>
  <c r="J647" i="1" s="1"/>
  <c r="D15" i="13"/>
  <c r="C15" i="13" s="1"/>
  <c r="G651" i="1"/>
  <c r="J651" i="1" s="1"/>
  <c r="H662" i="1"/>
  <c r="I662" i="1" s="1"/>
  <c r="C110" i="2"/>
  <c r="C115" i="2" s="1"/>
  <c r="L247" i="1"/>
  <c r="H660" i="1"/>
  <c r="H664" i="1" s="1"/>
  <c r="H667" i="1" s="1"/>
  <c r="C109" i="2"/>
  <c r="H257" i="1"/>
  <c r="H271" i="1" s="1"/>
  <c r="K271" i="1"/>
  <c r="C131" i="2"/>
  <c r="H25" i="13"/>
  <c r="C132" i="2"/>
  <c r="C112" i="2"/>
  <c r="D14" i="13"/>
  <c r="C14" i="13" s="1"/>
  <c r="D7" i="13"/>
  <c r="C7" i="13" s="1"/>
  <c r="D6" i="13"/>
  <c r="C6" i="13" s="1"/>
  <c r="C123" i="2"/>
  <c r="E13" i="13"/>
  <c r="C13" i="13" s="1"/>
  <c r="C122" i="2"/>
  <c r="C121" i="2"/>
  <c r="C18" i="10"/>
  <c r="E8" i="13"/>
  <c r="C8" i="13" s="1"/>
  <c r="C10" i="10"/>
  <c r="C120" i="2"/>
  <c r="D5" i="13"/>
  <c r="C5" i="13" s="1"/>
  <c r="C11" i="10"/>
  <c r="L211" i="1"/>
  <c r="F660" i="1" s="1"/>
  <c r="C81" i="2"/>
  <c r="C62" i="2"/>
  <c r="F112" i="1"/>
  <c r="C56" i="2"/>
  <c r="G625" i="1"/>
  <c r="J625" i="1" s="1"/>
  <c r="E31" i="2"/>
  <c r="H52" i="1"/>
  <c r="H619" i="1" s="1"/>
  <c r="J619" i="1" s="1"/>
  <c r="J617" i="1"/>
  <c r="J622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A22" i="12"/>
  <c r="H646" i="1"/>
  <c r="G50" i="2"/>
  <c r="G51" i="2" s="1"/>
  <c r="J652" i="1"/>
  <c r="G571" i="1"/>
  <c r="I434" i="1"/>
  <c r="G434" i="1"/>
  <c r="I663" i="1"/>
  <c r="G635" i="1"/>
  <c r="J635" i="1" s="1"/>
  <c r="I661" i="1" l="1"/>
  <c r="F664" i="1"/>
  <c r="F667" i="1" s="1"/>
  <c r="G664" i="1"/>
  <c r="H672" i="1"/>
  <c r="C6" i="10" s="1"/>
  <c r="H648" i="1"/>
  <c r="J648" i="1" s="1"/>
  <c r="C25" i="13"/>
  <c r="H33" i="13"/>
  <c r="C144" i="2"/>
  <c r="C128" i="2"/>
  <c r="E33" i="13"/>
  <c r="D35" i="13" s="1"/>
  <c r="L257" i="1"/>
  <c r="L271" i="1" s="1"/>
  <c r="G632" i="1" s="1"/>
  <c r="J632" i="1" s="1"/>
  <c r="C28" i="10"/>
  <c r="D24" i="10" s="1"/>
  <c r="I660" i="1"/>
  <c r="I193" i="1"/>
  <c r="G630" i="1" s="1"/>
  <c r="J630" i="1" s="1"/>
  <c r="C63" i="2"/>
  <c r="C104" i="2" s="1"/>
  <c r="F193" i="1"/>
  <c r="G627" i="1" s="1"/>
  <c r="J627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I664" i="1"/>
  <c r="I672" i="1" s="1"/>
  <c r="C7" i="10" s="1"/>
  <c r="G672" i="1"/>
  <c r="C5" i="10" s="1"/>
  <c r="G667" i="1"/>
  <c r="C145" i="2"/>
  <c r="D20" i="10"/>
  <c r="D23" i="10"/>
  <c r="D26" i="10"/>
  <c r="C30" i="10"/>
  <c r="D10" i="10"/>
  <c r="D25" i="10"/>
  <c r="D16" i="10"/>
  <c r="D15" i="10"/>
  <c r="D19" i="10"/>
  <c r="D13" i="10"/>
  <c r="D11" i="10"/>
  <c r="D21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<sst xmlns="http://schemas.openxmlformats.org/spreadsheetml/2006/main" count="3958" uniqueCount="916">
  <si>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</si>
  <si>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</si>
  <si>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</si>
  <si>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</si>
  <si>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</si>
  <si>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</si>
  <si>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</si>
  <si>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</si>
  <si>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</si>
  <si>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</si>
  <si>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</si>
  <si>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</si>
  <si>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</si>
  <si>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</si>
  <si>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</si>
  <si>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</si>
  <si>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</si>
  <si>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</si>
  <si>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</si>
  <si>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</si>
  <si>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</si>
  <si>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</si>
  <si>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</si>
  <si>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</si>
  <si>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</si>
  <si>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</si>
  <si>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</si>
  <si>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</si>
  <si>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</si>
  <si>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</si>
  <si>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</si>
  <si>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</si>
  <si>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</si>
  <si>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</si>
  <si>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</si>
  <si>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</si>
  <si>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</si>
  <si>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</si>
  <si>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</si>
  <si>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</si>
  <si>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</si>
  <si>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</si>
  <si>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</si>
  <si>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</si>
  <si>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</si>
  <si>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</si>
  <si>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</si>
  <si>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</si>
  <si>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</si>
  <si>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</si>
  <si>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</si>
  <si>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</si>
  <si>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</si>
  <si>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</si>
  <si>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</si>
  <si>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</si>
  <si>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</si>
  <si>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</si>
  <si>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</si>
  <si>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</si>
  <si>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</si>
  <si>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</si>
  <si>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</si>
  <si>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</si>
  <si>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</si>
  <si>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</si>
  <si>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</si>
  <si>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</si>
  <si>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</si>
  <si>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</si>
  <si>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</si>
  <si>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</si>
  <si>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</si>
  <si>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</si>
  <si>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</si>
  <si>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</si>
  <si>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</si>
  <si>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</si>
  <si>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</si>
  <si>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</si>
  <si>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</si>
  <si>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</si>
  <si>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</si>
  <si>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</si>
  <si>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</si>
  <si>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</si>
  <si>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</si>
  <si>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</si>
  <si>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</si>
  <si>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</si>
  <si>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</si>
  <si>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</si>
  <si>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</si>
  <si>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</si>
  <si>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</si>
  <si>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</si>
  <si>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</si>
  <si>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</si>
  <si>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</si>
  <si>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</si>
  <si>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</si>
  <si>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</si>
  <si>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</si>
  <si>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</si>
  <si>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</si>
  <si>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</si>
  <si>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</si>
  <si>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</si>
  <si>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</si>
  <si>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</si>
  <si>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</si>
  <si>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</si>
  <si>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</si>
  <si>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</si>
  <si>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</si>
  <si>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</si>
  <si>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</si>
  <si>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</si>
  <si>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</si>
  <si>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</si>
  <si>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</si>
  <si>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</si>
  <si>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</si>
  <si>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</si>
  <si>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</si>
  <si>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</si>
  <si>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</si>
  <si>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</si>
  <si>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</si>
  <si>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</si>
  <si>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</si>
  <si>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</si>
  <si>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</si>
  <si>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</si>
  <si>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</si>
  <si>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</si>
  <si>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</si>
  <si>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</si>
  <si>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</si>
  <si>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</si>
  <si>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</si>
  <si>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</si>
  <si>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</si>
  <si>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</si>
  <si>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</si>
  <si>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</si>
  <si>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</si>
  <si>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</si>
  <si>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</si>
  <si>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</si>
  <si>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</si>
  <si>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</si>
  <si>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</si>
  <si>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</si>
  <si>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</si>
  <si>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</si>
  <si>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</si>
  <si>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</si>
  <si>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</si>
  <si>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</si>
  <si>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</si>
  <si>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</si>
  <si>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</si>
  <si>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</si>
  <si>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</si>
  <si>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</si>
  <si>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</si>
  <si>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</si>
  <si>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</si>
  <si>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</si>
  <si>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</si>
  <si>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</si>
  <si>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</si>
  <si>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</si>
  <si>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</si>
  <si>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</si>
  <si>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</si>
  <si>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</si>
  <si>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</si>
  <si>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</si>
  <si>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</si>
  <si>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</si>
  <si>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</si>
  <si>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</si>
  <si>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</si>
  <si>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</si>
  <si>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</si>
  <si>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</si>
  <si>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</si>
  <si>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</si>
  <si>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</si>
  <si>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</si>
  <si>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</si>
  <si>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</si>
  <si>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</si>
  <si>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</si>
  <si>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</si>
  <si>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</si>
  <si>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</si>
  <si>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</si>
  <si>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</si>
  <si>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</si>
  <si>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</si>
  <si>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</si>
  <si>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</si>
  <si>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</si>
  <si>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</si>
  <si>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</si>
  <si>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</si>
  <si>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</si>
  <si>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</si>
  <si>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</si>
  <si>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</si>
  <si>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</si>
  <si>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</si>
  <si>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</si>
  <si>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</si>
  <si>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</si>
  <si>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</si>
  <si>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</si>
  <si>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</si>
  <si>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</si>
  <si>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</si>
  <si>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</si>
  <si>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</si>
  <si>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</si>
  <si>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</si>
  <si>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</si>
  <si>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</si>
  <si>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</si>
  <si>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</si>
  <si>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</si>
  <si>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</si>
  <si>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</si>
  <si>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</si>
  <si>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</si>
  <si>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</si>
  <si>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</si>
  <si>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</si>
  <si>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</si>
  <si>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</si>
  <si>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</si>
  <si>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</si>
  <si>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</si>
  <si>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</si>
  <si>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</si>
  <si>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</si>
  <si>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</si>
  <si>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</si>
  <si>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</si>
  <si>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</si>
  <si>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</si>
  <si>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</si>
  <si>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</si>
  <si>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</si>
  <si>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</si>
  <si>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</si>
  <si>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</si>
  <si>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</si>
  <si>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</si>
  <si>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</si>
  <si>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</si>
  <si>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</si>
  <si>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</si>
  <si>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</si>
  <si>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</si>
  <si>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</si>
  <si>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</si>
  <si>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</si>
  <si>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</si>
  <si>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</si>
  <si>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</si>
  <si>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</si>
  <si>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</si>
  <si>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</si>
  <si>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</si>
  <si>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</si>
  <si>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</si>
  <si>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</si>
  <si>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</si>
  <si>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</si>
  <si>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</si>
  <si>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</si>
  <si>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</si>
  <si>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</si>
  <si>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</si>
  <si>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</si>
  <si>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</si>
  <si>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</si>
  <si>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</si>
  <si>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</si>
  <si>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</si>
  <si>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</si>
  <si>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</si>
  <si>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</si>
  <si>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</si>
  <si>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</si>
  <si>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</si>
  <si>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</si>
  <si>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</si>
  <si>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</si>
  <si>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</si>
  <si>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</si>
  <si>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</si>
  <si>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</si>
  <si>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</si>
  <si>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</si>
  <si>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</si>
  <si>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</si>
  <si>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</si>
  <si>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</si>
  <si>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</si>
  <si>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</si>
  <si>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</si>
  <si>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</si>
  <si>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</si>
  <si>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</si>
  <si>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</si>
  <si>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</si>
  <si>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</si>
  <si>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</si>
  <si>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</si>
  <si>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</si>
  <si>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</si>
  <si>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</si>
  <si>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</si>
  <si>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</si>
  <si>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</si>
  <si>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</si>
  <si>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</si>
  <si>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</si>
  <si>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</si>
  <si>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</si>
  <si>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</si>
  <si>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</si>
  <si>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</si>
  <si>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</si>
  <si>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</si>
  <si>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</si>
  <si>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</si>
  <si>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</si>
  <si>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</si>
  <si>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</si>
  <si>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</si>
  <si>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</si>
  <si>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</si>
  <si>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</si>
  <si>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</si>
  <si>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</si>
  <si>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</si>
  <si>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</si>
  <si>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</si>
  <si>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</si>
  <si>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</si>
  <si>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</si>
  <si>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</si>
  <si>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</si>
  <si>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</si>
  <si>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</si>
  <si>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</si>
  <si>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</si>
  <si>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</si>
  <si>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</si>
  <si>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</si>
  <si>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</si>
  <si>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</si>
  <si>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</si>
  <si>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</si>
  <si>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</si>
  <si>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</si>
  <si>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</si>
  <si>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</si>
  <si>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</si>
  <si>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</si>
  <si>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</si>
  <si>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</si>
  <si>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</si>
  <si>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</si>
  <si>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</si>
  <si>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</si>
  <si>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</si>
  <si>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</si>
  <si>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</si>
  <si>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</si>
  <si>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</si>
  <si>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</si>
  <si>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</si>
  <si>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</si>
  <si>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</si>
  <si>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</si>
  <si>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</si>
  <si>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</si>
  <si>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</si>
  <si>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</si>
  <si>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</si>
  <si>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</si>
  <si>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</si>
  <si>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</si>
  <si>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</si>
  <si>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</si>
  <si>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</si>
  <si>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</si>
  <si>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</si>
  <si>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</si>
  <si>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</si>
  <si>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</si>
  <si>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</si>
  <si>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</si>
  <si>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</si>
  <si>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</si>
  <si>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</si>
  <si>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</si>
  <si>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</si>
  <si>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</si>
  <si>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</si>
  <si>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</si>
  <si>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</si>
  <si>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</si>
  <si>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</si>
  <si>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</si>
  <si>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</si>
  <si>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</si>
  <si>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</si>
  <si>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</si>
  <si>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</si>
  <si>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</si>
  <si>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</si>
  <si>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</si>
  <si>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</si>
  <si>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</si>
  <si>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</si>
  <si>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</si>
  <si>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</si>
  <si>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</si>
  <si>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</si>
  <si>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</si>
  <si>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</si>
  <si>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</si>
  <si>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</si>
  <si>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</si>
  <si>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</si>
  <si>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</si>
  <si>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</si>
  <si>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</si>
  <si>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</si>
  <si>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</si>
  <si>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</si>
  <si>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</si>
  <si>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</si>
  <si>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</si>
  <si>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</si>
  <si>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</si>
  <si>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</si>
  <si>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</si>
  <si>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</si>
  <si>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</si>
  <si>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</si>
  <si>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</si>
  <si>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</si>
  <si>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</si>
  <si>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</si>
  <si>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</si>
  <si>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</si>
  <si>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</si>
  <si>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</si>
  <si>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</si>
  <si>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</si>
  <si>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</si>
  <si>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</si>
  <si>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</si>
  <si>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</si>
  <si>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</si>
  <si>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</si>
  <si>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</si>
  <si>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</si>
  <si>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</si>
  <si>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</si>
  <si>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</si>
  <si>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</si>
  <si>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</si>
  <si>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</si>
  <si>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</si>
  <si>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</si>
  <si>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</si>
  <si>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</si>
  <si>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</si>
  <si>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</si>
  <si>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</si>
  <si>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</si>
  <si>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</si>
  <si>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</si>
  <si>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</si>
  <si>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</si>
  <si>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</si>
  <si>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</si>
  <si>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</si>
  <si>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</si>
  <si>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</si>
  <si>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</si>
  <si>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</si>
  <si>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</si>
  <si>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</si>
  <si>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</si>
  <si>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</si>
  <si>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</si>
  <si>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</si>
  <si>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</si>
  <si>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</si>
  <si>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</si>
  <si>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</si>
  <si>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</si>
  <si>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</si>
  <si>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</si>
  <si>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</si>
  <si>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</si>
  <si>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</si>
  <si>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</si>
  <si>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</si>
  <si>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</si>
  <si>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</si>
  <si>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</si>
  <si>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</si>
  <si>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</si>
  <si>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</si>
  <si>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</si>
  <si>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</si>
  <si>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</si>
  <si>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</si>
  <si>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</si>
  <si>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</si>
  <si>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</si>
  <si>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</si>
  <si>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</si>
  <si>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</si>
  <si>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</si>
  <si>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</si>
  <si>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</si>
  <si>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</si>
  <si>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</si>
  <si>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</si>
  <si>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</si>
  <si>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</si>
  <si>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</si>
  <si>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</si>
  <si>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</si>
  <si>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</si>
  <si>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</si>
  <si>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</si>
  <si>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</si>
  <si>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</si>
  <si>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</si>
  <si>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</si>
  <si>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</si>
  <si>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</si>
  <si>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</si>
  <si>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</si>
  <si>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</si>
  <si>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</si>
  <si>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</si>
  <si>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</si>
  <si>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</si>
  <si>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</si>
  <si>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</si>
  <si>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</si>
  <si>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</si>
  <si>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</si>
  <si>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</si>
  <si>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</si>
  <si>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</si>
  <si>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</si>
  <si>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</si>
  <si>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</si>
  <si>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</si>
  <si>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</si>
  <si>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</si>
  <si>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</si>
  <si>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</si>
  <si>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</si>
  <si>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</si>
  <si>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</si>
  <si>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</si>
  <si>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</si>
  <si>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</si>
  <si>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</si>
  <si>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</si>
  <si>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</si>
  <si>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</si>
  <si>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</si>
  <si>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</si>
  <si>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</si>
  <si>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</si>
  <si>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</si>
  <si>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</si>
  <si>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</si>
  <si>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</si>
  <si>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</si>
  <si>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</si>
  <si>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</si>
  <si>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</si>
  <si>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</si>
  <si>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</si>
  <si>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</si>
  <si>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</si>
  <si>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</si>
  <si>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</si>
  <si>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</si>
  <si>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</si>
  <si>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</si>
  <si>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</si>
  <si>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</si>
  <si>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</si>
  <si>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</si>
  <si>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</si>
  <si>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</si>
  <si>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</si>
  <si>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</si>
  <si>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</si>
  <si>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</si>
  <si>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</si>
  <si>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</si>
  <si>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</si>
  <si>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</si>
  <si>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</si>
  <si>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</si>
  <si>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</si>
  <si>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</si>
  <si>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</si>
  <si>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</si>
  <si>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</si>
  <si>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</si>
  <si>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</si>
  <si>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</si>
  <si>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</si>
  <si>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</si>
  <si>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</si>
  <si>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</si>
  <si>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</si>
  <si>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</si>
  <si>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</si>
  <si>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</si>
  <si>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</si>
  <si>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</si>
  <si>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</si>
  <si>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</si>
  <si>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</si>
  <si>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</si>
  <si>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</si>
  <si>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</si>
  <si>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</si>
  <si>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</si>
  <si>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</si>
  <si>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</si>
  <si>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</si>
  <si>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</si>
  <si>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</si>
  <si>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</si>
  <si>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</si>
  <si>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</si>
  <si>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</si>
  <si>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</si>
  <si>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</si>
  <si>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</si>
  <si>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</si>
  <si>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</si>
  <si>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</si>
  <si>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</si>
  <si>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</si>
  <si>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</si>
  <si>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</si>
  <si>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</si>
  <si>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</si>
  <si>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</si>
  <si>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</si>
  <si>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</si>
  <si>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</si>
  <si>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</si>
  <si>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</si>
  <si>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</si>
  <si>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</si>
  <si>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</si>
  <si>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</si>
  <si>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</si>
  <si>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</si>
  <si>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</si>
  <si>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</si>
  <si>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</si>
  <si>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</si>
  <si>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</si>
  <si>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</si>
  <si>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</si>
  <si>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</si>
  <si>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</si>
  <si>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</si>
  <si>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</si>
  <si>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</si>
  <si>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</si>
  <si>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</si>
  <si>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</si>
  <si>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</si>
  <si>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</si>
  <si>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</si>
  <si>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</si>
  <si>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</si>
  <si>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</si>
  <si>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</si>
  <si>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</si>
  <si>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</si>
  <si>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</si>
  <si>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</si>
  <si>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</si>
  <si>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</si>
  <si>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</si>
  <si>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</si>
  <si>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</si>
  <si>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</si>
  <si>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</si>
  <si>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</si>
  <si>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</si>
  <si>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</si>
  <si>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</si>
  <si>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</si>
  <si>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</si>
  <si>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</si>
  <si>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</si>
  <si>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</si>
  <si>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</si>
  <si>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</si>
  <si>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</si>
  <si>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</si>
  <si>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</si>
  <si>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</si>
  <si>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</si>
  <si>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</si>
  <si>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</si>
  <si>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</si>
  <si>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</si>
  <si>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</si>
  <si>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</si>
  <si>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</si>
  <si>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</si>
  <si>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</si>
  <si>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</si>
  <si>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</si>
  <si>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</si>
  <si>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</si>
  <si>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</si>
  <si>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</si>
  <si>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</si>
  <si>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</si>
  <si>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</si>
  <si>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</si>
  <si>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</si>
  <si>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</si>
  <si>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</si>
  <si>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</si>
  <si>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</si>
  <si>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</si>
  <si>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</si>
  <si>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</si>
  <si>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</si>
  <si>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</si>
  <si>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</si>
  <si>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</si>
  <si>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</si>
  <si>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</si>
  <si>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</si>
  <si>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</si>
  <si>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</si>
  <si>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</si>
  <si>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</si>
  <si>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</si>
  <si>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</si>
  <si>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</si>
  <si>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</si>
  <si>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</si>
  <si>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</si>
  <si>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</si>
  <si>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</si>
  <si>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</si>
  <si>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</si>
  <si>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</si>
  <si>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</si>
  <si>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</si>
  <si>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</si>
  <si>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</si>
  <si>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</si>
  <si>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</si>
  <si>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</si>
  <si>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</si>
  <si>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</si>
  <si>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</si>
  <si>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</si>
  <si>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</si>
  <si>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</si>
  <si>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</si>
  <si>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</si>
  <si>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</si>
  <si>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</si>
  <si>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</si>
  <si>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</si>
  <si>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</si>
  <si>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</si>
  <si>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</si>
  <si>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</si>
  <si>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</si>
  <si>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</si>
  <si>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</si>
  <si>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</si>
  <si>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</si>
  <si>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</si>
  <si>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</si>
  <si>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</si>
  <si>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</si>
  <si>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</si>
  <si>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</si>
  <si>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</si>
  <si>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</si>
  <si>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</si>
  <si>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</si>
  <si>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</si>
  <si>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</si>
  <si>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</si>
  <si>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</si>
  <si>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</si>
  <si>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</si>
  <si>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</si>
  <si>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</si>
  <si>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</si>
  <si>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</si>
  <si>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</si>
  <si>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</si>
  <si>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</si>
  <si>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</si>
  <si>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</si>
  <si>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</si>
  <si>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</si>
  <si>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</si>
  <si>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</si>
  <si>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</si>
  <si>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</si>
  <si>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</si>
  <si>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</si>
  <si>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</si>
  <si>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</si>
  <si>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</si>
  <si>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</si>
  <si>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</si>
  <si>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</si>
  <si>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</si>
  <si>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</si>
  <si>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</si>
  <si>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</si>
  <si>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</si>
  <si>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</si>
  <si>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</si>
  <si>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</si>
  <si>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</si>
  <si>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</si>
  <si>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</si>
  <si>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</si>
  <si>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</si>
  <si>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</si>
  <si>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</si>
  <si>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</si>
  <si>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</si>
  <si>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</si>
  <si>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</si>
  <si>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</si>
  <si>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</si>
  <si>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</si>
  <si>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</si>
  <si>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</si>
  <si>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</si>
  <si>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</si>
  <si>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</si>
  <si>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</si>
  <si>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</si>
  <si>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</si>
  <si>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</si>
  <si>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</si>
  <si>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</si>
  <si>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</si>
  <si>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</si>
  <si>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</si>
  <si>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</si>
  <si>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</si>
  <si>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</si>
  <si>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</si>
  <si>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</si>
  <si>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</si>
  <si>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</si>
  <si>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</si>
  <si>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</si>
  <si>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</si>
  <si>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</si>
  <si>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</si>
  <si>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</si>
  <si>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</si>
  <si>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</si>
  <si>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</si>
  <si>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</si>
  <si>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</si>
  <si>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</si>
  <si>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</si>
  <si>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</si>
  <si>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</si>
  <si>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</si>
  <si>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</si>
  <si>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</si>
  <si>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</si>
  <si>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</si>
  <si>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WESTMORELAND SCHOOL DISTRICT</t>
  </si>
  <si>
    <t>08/07</t>
  </si>
  <si>
    <t>08/17</t>
  </si>
  <si>
    <t>08/10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</si>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</sst>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03" activePane="bottomRight" state="frozen"/>
      <selection pane="topRight" activeCell="F1" sqref="F1"/>
      <selection pane="bottomLeft" activeCell="A4" sqref="A4"/>
      <selection pane="bottomRight" activeCell="H531" sqref="H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563</v>
      </c>
      <c r="C2" s="21">
        <v>563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130638.2-36701.57</f>
        <v>93936.63</v>
      </c>
      <c r="G9" s="18">
        <v>1500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14346.55</v>
      </c>
      <c r="G10" s="18"/>
      <c r="H10" s="18"/>
      <c r="I10" s="18"/>
      <c r="J10" s="67">
        <f>SUM(I440)</f>
        <v>241090.58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116.23+26084.05+15000</f>
        <v>41200.28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10609.97</v>
      </c>
      <c r="G13" s="18">
        <v>2669.12</v>
      </c>
      <c r="H13" s="18">
        <v>28616.080000000002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572.97</v>
      </c>
      <c r="G14" s="18">
        <v>124.7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160666.40000000002</v>
      </c>
      <c r="G19" s="41">
        <f>SUM(G9:G18)</f>
        <v>4293.82</v>
      </c>
      <c r="H19" s="41">
        <f>SUM(H9:H18)</f>
        <v>28616.080000000002</v>
      </c>
      <c r="I19" s="41">
        <f>SUM(I9:I18)</f>
        <v>0</v>
      </c>
      <c r="J19" s="41">
        <f>SUM(J9:J18)</f>
        <v>241090.58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116.23</v>
      </c>
      <c r="H22" s="18">
        <v>26084.05</v>
      </c>
      <c r="I22" s="18">
        <v>15000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966.98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32240.42</v>
      </c>
      <c r="G24" s="18">
        <v>524.17999999999995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9946.82</v>
      </c>
      <c r="G28" s="18">
        <v>1487.09</v>
      </c>
      <c r="H28" s="18">
        <v>2532.0300000000002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666.32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43154.22</v>
      </c>
      <c r="G32" s="41">
        <f>SUM(G22:G31)</f>
        <v>2793.82</v>
      </c>
      <c r="H32" s="41">
        <f>SUM(H22:H31)</f>
        <v>28616.079999999998</v>
      </c>
      <c r="I32" s="41">
        <f>SUM(I22:I31)</f>
        <v>15000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>
        <v>1500</v>
      </c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-15000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41130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241090.58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3784.29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72597.89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117512.18</v>
      </c>
      <c r="G51" s="41">
        <f>SUM(G35:G50)</f>
        <v>1500</v>
      </c>
      <c r="H51" s="41">
        <f>SUM(H35:H50)</f>
        <v>0</v>
      </c>
      <c r="I51" s="41">
        <f>SUM(I35:I50)</f>
        <v>-15000</v>
      </c>
      <c r="J51" s="41">
        <f>SUM(J35:J50)</f>
        <v>241090.58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160666.4</v>
      </c>
      <c r="G52" s="41">
        <f>G51+G32</f>
        <v>4293.82</v>
      </c>
      <c r="H52" s="41">
        <f>H51+H32</f>
        <v>28616.079999999998</v>
      </c>
      <c r="I52" s="41">
        <f>I51+I32</f>
        <v>0</v>
      </c>
      <c r="J52" s="41">
        <f>J51+J32</f>
        <v>241090.58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2102831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2102831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1718.06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1718.06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298.66000000000003</v>
      </c>
      <c r="G96" s="18"/>
      <c r="H96" s="18"/>
      <c r="I96" s="18"/>
      <c r="J96" s="18">
        <f>113.75+1055.15</f>
        <v>1168.9000000000001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28302.52+1866.83+135</f>
        <v>30304.35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1500</v>
      </c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25760.41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3873.47+4240.19</f>
        <v>8113.66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34172.729999999996</v>
      </c>
      <c r="G111" s="41">
        <f>SUM(G96:G110)</f>
        <v>31804.35</v>
      </c>
      <c r="H111" s="41">
        <f>SUM(H96:H110)</f>
        <v>0</v>
      </c>
      <c r="I111" s="41">
        <f>SUM(I96:I110)</f>
        <v>0</v>
      </c>
      <c r="J111" s="41">
        <f>SUM(J96:J110)</f>
        <v>1168.9000000000001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2139321.79</v>
      </c>
      <c r="G112" s="41">
        <f>G60+G111</f>
        <v>31804.35</v>
      </c>
      <c r="H112" s="41">
        <f>H60+H79+H94+H111</f>
        <v>0</v>
      </c>
      <c r="I112" s="41">
        <f>I60+I111</f>
        <v>0</v>
      </c>
      <c r="J112" s="41">
        <f>J60+J111</f>
        <v>1168.9000000000001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676872.8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428422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1105294.8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28230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20964.3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797.56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49194.3</v>
      </c>
      <c r="G136" s="41">
        <f>SUM(G123:G135)</f>
        <v>797.56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1154489.1000000001</v>
      </c>
      <c r="G140" s="41">
        <f>G121+SUM(G136:G137)</f>
        <v>797.56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353.38+18655.94</f>
        <v>19009.32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-471.5+2589.85+7073.25+6150.73</f>
        <v>15342.33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28302.47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-1356.19+30697.46</f>
        <v>29341.27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17644.259999999998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17644.259999999998</v>
      </c>
      <c r="G162" s="41">
        <f>SUM(G150:G161)</f>
        <v>28302.47</v>
      </c>
      <c r="H162" s="41">
        <f>SUM(H150:H161)</f>
        <v>63692.92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17644.259999999998</v>
      </c>
      <c r="G169" s="41">
        <f>G147+G162+SUM(G163:G168)</f>
        <v>28302.47</v>
      </c>
      <c r="H169" s="41">
        <f>H147+H162+SUM(H163:H168)</f>
        <v>63692.92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45894.16</v>
      </c>
      <c r="H179" s="18"/>
      <c r="I179" s="18">
        <v>40000</v>
      </c>
      <c r="J179" s="18">
        <f>26858+15000+1093.5</f>
        <v>42951.5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45894.16</v>
      </c>
      <c r="H183" s="41">
        <f>SUM(H179:H182)</f>
        <v>0</v>
      </c>
      <c r="I183" s="41">
        <f>SUM(I179:I182)</f>
        <v>40000</v>
      </c>
      <c r="J183" s="41">
        <f>SUM(J179:J182)</f>
        <v>42951.5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45894.16</v>
      </c>
      <c r="H192" s="41">
        <f>+H183+SUM(H188:H191)</f>
        <v>0</v>
      </c>
      <c r="I192" s="41">
        <f>I177+I183+SUM(I188:I191)</f>
        <v>40000</v>
      </c>
      <c r="J192" s="41">
        <f>J183</f>
        <v>42951.5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3311455.15</v>
      </c>
      <c r="G193" s="47">
        <f>G112+G140+G169+G192</f>
        <v>106798.54000000001</v>
      </c>
      <c r="H193" s="47">
        <f>H112+H140+H169+H192</f>
        <v>63692.92</v>
      </c>
      <c r="I193" s="47">
        <f>I112+I140+I169+I192</f>
        <v>40000</v>
      </c>
      <c r="J193" s="47">
        <f>J112+J140+J192</f>
        <v>44120.4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637800.11</v>
      </c>
      <c r="G197" s="18">
        <v>282353.43</v>
      </c>
      <c r="H197" s="18">
        <v>646.9</v>
      </c>
      <c r="I197" s="18">
        <v>17107.419999999998</v>
      </c>
      <c r="J197" s="18">
        <v>3575</v>
      </c>
      <c r="K197" s="18">
        <v>810.98</v>
      </c>
      <c r="L197" s="19">
        <f>SUM(F197:K197)</f>
        <v>942293.84000000008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106195</v>
      </c>
      <c r="G198" s="18">
        <v>44039.74</v>
      </c>
      <c r="H198" s="18">
        <v>85444.86</v>
      </c>
      <c r="I198" s="18">
        <v>1075.05</v>
      </c>
      <c r="J198" s="18"/>
      <c r="K198" s="18"/>
      <c r="L198" s="19">
        <f>SUM(F198:K198)</f>
        <v>236754.64999999997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10974.98+1234.56</f>
        <v>12209.539999999999</v>
      </c>
      <c r="G200" s="18">
        <f>2232.26+100.56</f>
        <v>2332.8200000000002</v>
      </c>
      <c r="H200" s="18">
        <v>3840.16</v>
      </c>
      <c r="I200" s="18">
        <v>1676.31</v>
      </c>
      <c r="J200" s="18">
        <v>439.48</v>
      </c>
      <c r="K200" s="18">
        <v>1820</v>
      </c>
      <c r="L200" s="19">
        <f>SUM(F200:K200)</f>
        <v>22318.309999999998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26385.06+21975.72+4907.76</f>
        <v>53268.54</v>
      </c>
      <c r="G202" s="18">
        <f>2158.27+1797.64+401.47</f>
        <v>4357.38</v>
      </c>
      <c r="H202" s="18">
        <f>1075+2333.34+46575.3+27092.73</f>
        <v>77076.37</v>
      </c>
      <c r="I202" s="18">
        <f>99.8+458.88</f>
        <v>558.67999999999995</v>
      </c>
      <c r="J202" s="18"/>
      <c r="K202" s="18"/>
      <c r="L202" s="19">
        <f t="shared" ref="L202:L208" si="0">SUM(F202:K202)</f>
        <v>135260.96999999997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2100+43800.66</f>
        <v>45900.66</v>
      </c>
      <c r="G203" s="18">
        <f>473.81+16698.02</f>
        <v>17171.830000000002</v>
      </c>
      <c r="H203" s="18">
        <v>3758.48</v>
      </c>
      <c r="I203" s="18">
        <f>224.92+2724.28</f>
        <v>2949.2000000000003</v>
      </c>
      <c r="J203" s="18"/>
      <c r="K203" s="18"/>
      <c r="L203" s="19">
        <f t="shared" si="0"/>
        <v>69780.17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399+2000</f>
        <v>2399</v>
      </c>
      <c r="G204" s="18">
        <f>75.81+163.6+1000</f>
        <v>1239.4100000000001</v>
      </c>
      <c r="H204" s="18">
        <f>177.77+100+80+6800+231.33+100+179155</f>
        <v>186644.1</v>
      </c>
      <c r="I204" s="18">
        <v>1095.77</v>
      </c>
      <c r="J204" s="18"/>
      <c r="K204" s="18"/>
      <c r="L204" s="19">
        <f t="shared" si="0"/>
        <v>191378.28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107895.28</v>
      </c>
      <c r="G205" s="18">
        <v>48211.22</v>
      </c>
      <c r="H205" s="18">
        <v>11362.46</v>
      </c>
      <c r="I205" s="18">
        <f>2278.46+352.18</f>
        <v>2630.64</v>
      </c>
      <c r="J205" s="18">
        <v>1047</v>
      </c>
      <c r="K205" s="18">
        <v>324</v>
      </c>
      <c r="L205" s="19">
        <f t="shared" si="0"/>
        <v>171470.6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53578.11</v>
      </c>
      <c r="G207" s="18">
        <v>28894.25</v>
      </c>
      <c r="H207" s="18">
        <v>100257.09</v>
      </c>
      <c r="I207" s="18">
        <v>62326.49</v>
      </c>
      <c r="J207" s="18"/>
      <c r="K207" s="18"/>
      <c r="L207" s="19">
        <f t="shared" si="0"/>
        <v>245055.94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143551.46+16215+2530.25+3904.75</f>
        <v>166201.46</v>
      </c>
      <c r="I208" s="18"/>
      <c r="J208" s="18"/>
      <c r="K208" s="18"/>
      <c r="L208" s="19">
        <f t="shared" si="0"/>
        <v>166201.46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1399.9</v>
      </c>
      <c r="H209" s="18">
        <v>1138.75</v>
      </c>
      <c r="I209" s="18"/>
      <c r="J209" s="18"/>
      <c r="K209" s="18"/>
      <c r="L209" s="19">
        <f>SUM(F209:K209)</f>
        <v>2538.65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1019246.2400000001</v>
      </c>
      <c r="G211" s="41">
        <f t="shared" si="1"/>
        <v>429999.98</v>
      </c>
      <c r="H211" s="41">
        <f t="shared" si="1"/>
        <v>636370.63</v>
      </c>
      <c r="I211" s="41">
        <f t="shared" si="1"/>
        <v>89419.56</v>
      </c>
      <c r="J211" s="41">
        <f t="shared" si="1"/>
        <v>5061.4799999999996</v>
      </c>
      <c r="K211" s="41">
        <f t="shared" si="1"/>
        <v>2954.98</v>
      </c>
      <c r="L211" s="41">
        <f t="shared" si="1"/>
        <v>2183052.87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771001.71</v>
      </c>
      <c r="I233" s="18"/>
      <c r="J233" s="18"/>
      <c r="K233" s="18"/>
      <c r="L233" s="19">
        <f>SUM(F233:K233)</f>
        <v>771001.71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235604.32</v>
      </c>
      <c r="I234" s="18"/>
      <c r="J234" s="18"/>
      <c r="K234" s="18"/>
      <c r="L234" s="19">
        <f>SUM(F234:K234)</f>
        <v>235604.32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52277.35</v>
      </c>
      <c r="I244" s="18"/>
      <c r="J244" s="18"/>
      <c r="K244" s="18"/>
      <c r="L244" s="19">
        <f t="shared" si="4"/>
        <v>52277.35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1058883.3800000001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1058883.3800000001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1019246.2400000001</v>
      </c>
      <c r="G257" s="41">
        <f t="shared" si="8"/>
        <v>429999.98</v>
      </c>
      <c r="H257" s="41">
        <f t="shared" si="8"/>
        <v>1695254.0100000002</v>
      </c>
      <c r="I257" s="41">
        <f t="shared" si="8"/>
        <v>89419.56</v>
      </c>
      <c r="J257" s="41">
        <f t="shared" si="8"/>
        <v>5061.4799999999996</v>
      </c>
      <c r="K257" s="41">
        <f t="shared" si="8"/>
        <v>2954.98</v>
      </c>
      <c r="L257" s="41">
        <f t="shared" si="8"/>
        <v>3241936.25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</v>
      </c>
      <c r="L260" s="19">
        <f>SUM(F260:K260)</f>
        <v>85000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8956.25</v>
      </c>
      <c r="L261" s="19">
        <f>SUM(F261:K261)</f>
        <v>8956.25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45894.16</v>
      </c>
      <c r="L263" s="19">
        <f>SUM(F263:K263)</f>
        <v>45894.16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40000</v>
      </c>
      <c r="L265" s="19">
        <f t="shared" si="9"/>
        <v>40000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16093.5+26858</f>
        <v>42951.5</v>
      </c>
      <c r="L266" s="19">
        <f t="shared" si="9"/>
        <v>42951.5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222801.91</v>
      </c>
      <c r="L270" s="41">
        <f t="shared" si="9"/>
        <v>222801.91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1019246.2400000001</v>
      </c>
      <c r="G271" s="42">
        <f t="shared" si="11"/>
        <v>429999.98</v>
      </c>
      <c r="H271" s="42">
        <f t="shared" si="11"/>
        <v>1695254.0100000002</v>
      </c>
      <c r="I271" s="42">
        <f t="shared" si="11"/>
        <v>89419.56</v>
      </c>
      <c r="J271" s="42">
        <f t="shared" si="11"/>
        <v>5061.4799999999996</v>
      </c>
      <c r="K271" s="42">
        <f t="shared" si="11"/>
        <v>225756.89</v>
      </c>
      <c r="L271" s="42">
        <f t="shared" si="11"/>
        <v>3464738.16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15252.27</f>
        <v>15252.27</v>
      </c>
      <c r="G276" s="18">
        <f>1166.77+80.84</f>
        <v>1247.6099999999999</v>
      </c>
      <c r="H276" s="18"/>
      <c r="I276" s="18">
        <f>115.25+960</f>
        <v>1075.25</v>
      </c>
      <c r="J276" s="18">
        <v>5998</v>
      </c>
      <c r="K276" s="18"/>
      <c r="L276" s="19">
        <f>SUM(F276:K276)</f>
        <v>23573.13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-1255.28+12287.16</f>
        <v>11031.88</v>
      </c>
      <c r="G277" s="18">
        <f>-96.02-4.89</f>
        <v>-100.91</v>
      </c>
      <c r="H277" s="18"/>
      <c r="I277" s="18"/>
      <c r="J277" s="18"/>
      <c r="K277" s="18"/>
      <c r="L277" s="19">
        <f>SUM(F277:K277)</f>
        <v>10930.97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2275-250+1537.5</f>
        <v>3562.5</v>
      </c>
      <c r="G282" s="18">
        <f>174.02+205.32+9.18-19.12+117.62-35.4+226.77-0.97+8.33</f>
        <v>685.75000000000011</v>
      </c>
      <c r="H282" s="18">
        <f>-471.5+3209+938.77+18282.86</f>
        <v>21959.13</v>
      </c>
      <c r="I282" s="18"/>
      <c r="J282" s="18"/>
      <c r="K282" s="18"/>
      <c r="L282" s="19">
        <f t="shared" si="12"/>
        <v>26207.38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1644</v>
      </c>
      <c r="I283" s="18"/>
      <c r="J283" s="18"/>
      <c r="K283" s="18"/>
      <c r="L283" s="19">
        <f t="shared" si="12"/>
        <v>1644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1337.44</v>
      </c>
      <c r="L285" s="19">
        <f t="shared" si="12"/>
        <v>1337.44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29846.65</v>
      </c>
      <c r="G290" s="42">
        <f t="shared" si="13"/>
        <v>1832.4499999999998</v>
      </c>
      <c r="H290" s="42">
        <f t="shared" si="13"/>
        <v>23603.13</v>
      </c>
      <c r="I290" s="42">
        <f t="shared" si="13"/>
        <v>1075.25</v>
      </c>
      <c r="J290" s="42">
        <f t="shared" si="13"/>
        <v>5998</v>
      </c>
      <c r="K290" s="42">
        <f t="shared" si="13"/>
        <v>1337.44</v>
      </c>
      <c r="L290" s="41">
        <f t="shared" si="13"/>
        <v>63692.92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29846.65</v>
      </c>
      <c r="G338" s="41">
        <f t="shared" si="20"/>
        <v>1832.4499999999998</v>
      </c>
      <c r="H338" s="41">
        <f t="shared" si="20"/>
        <v>23603.13</v>
      </c>
      <c r="I338" s="41">
        <f t="shared" si="20"/>
        <v>1075.25</v>
      </c>
      <c r="J338" s="41">
        <f t="shared" si="20"/>
        <v>5998</v>
      </c>
      <c r="K338" s="41">
        <f t="shared" si="20"/>
        <v>1337.44</v>
      </c>
      <c r="L338" s="41">
        <f t="shared" si="20"/>
        <v>63692.92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29846.65</v>
      </c>
      <c r="G352" s="41">
        <f>G338</f>
        <v>1832.4499999999998</v>
      </c>
      <c r="H352" s="41">
        <f>H338</f>
        <v>23603.13</v>
      </c>
      <c r="I352" s="41">
        <f>I338</f>
        <v>1075.25</v>
      </c>
      <c r="J352" s="41">
        <f>J338</f>
        <v>5998</v>
      </c>
      <c r="K352" s="47">
        <f>K338+K351</f>
        <v>1337.44</v>
      </c>
      <c r="L352" s="41">
        <f>L338+L351</f>
        <v>63692.92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702+33650.75</f>
        <v>34352.75</v>
      </c>
      <c r="G358" s="18">
        <f>13624.26+509.2+58.86+89.72+2408.33+2922.77+1136.84</f>
        <v>20749.980000000003</v>
      </c>
      <c r="H358" s="18">
        <f>115+343.61+69.44</f>
        <v>528.04999999999995</v>
      </c>
      <c r="I358" s="18">
        <f>8460.77+40829.99</f>
        <v>49290.759999999995</v>
      </c>
      <c r="J358" s="18">
        <v>377</v>
      </c>
      <c r="K358" s="18"/>
      <c r="L358" s="13">
        <f>SUM(F358:K358)</f>
        <v>105298.54000000001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34352.75</v>
      </c>
      <c r="G362" s="47">
        <f t="shared" si="22"/>
        <v>20749.980000000003</v>
      </c>
      <c r="H362" s="47">
        <f t="shared" si="22"/>
        <v>528.04999999999995</v>
      </c>
      <c r="I362" s="47">
        <f t="shared" si="22"/>
        <v>49290.759999999995</v>
      </c>
      <c r="J362" s="47">
        <f t="shared" si="22"/>
        <v>377</v>
      </c>
      <c r="K362" s="47">
        <f t="shared" si="22"/>
        <v>0</v>
      </c>
      <c r="L362" s="47">
        <f t="shared" si="22"/>
        <v>105298.54000000001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40829.99</v>
      </c>
      <c r="G367" s="18"/>
      <c r="H367" s="18"/>
      <c r="I367" s="56">
        <f>SUM(F367:H367)</f>
        <v>40829.99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8460.77</v>
      </c>
      <c r="G368" s="63"/>
      <c r="H368" s="63"/>
      <c r="I368" s="56">
        <f>SUM(F368:H368)</f>
        <v>8460.77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49290.759999999995</v>
      </c>
      <c r="G369" s="47">
        <f>SUM(G367:G368)</f>
        <v>0</v>
      </c>
      <c r="H369" s="47">
        <f>SUM(H367:H368)</f>
        <v>0</v>
      </c>
      <c r="I369" s="47">
        <f>SUM(I367:I368)</f>
        <v>49290.759999999995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15000</v>
      </c>
      <c r="I376" s="18"/>
      <c r="J376" s="18"/>
      <c r="K376" s="18"/>
      <c r="L376" s="13">
        <f t="shared" si="23"/>
        <v>15000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40000</v>
      </c>
      <c r="I379" s="18"/>
      <c r="J379" s="18"/>
      <c r="K379" s="18"/>
      <c r="L379" s="13">
        <f t="shared" si="23"/>
        <v>40000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55000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55000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113.75</v>
      </c>
      <c r="I389" s="18"/>
      <c r="J389" s="24" t="s">
        <v>289</v>
      </c>
      <c r="K389" s="24" t="s">
        <v>289</v>
      </c>
      <c r="L389" s="56">
        <f t="shared" si="25"/>
        <v>15113.75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113.75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15113.75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26858</v>
      </c>
      <c r="H398" s="18">
        <v>1055.1500000000001</v>
      </c>
      <c r="I398" s="18"/>
      <c r="J398" s="24" t="s">
        <v>289</v>
      </c>
      <c r="K398" s="24" t="s">
        <v>289</v>
      </c>
      <c r="L398" s="56">
        <f t="shared" si="26"/>
        <v>27913.15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1093.5</v>
      </c>
      <c r="H400" s="18"/>
      <c r="I400" s="18"/>
      <c r="J400" s="24" t="s">
        <v>289</v>
      </c>
      <c r="K400" s="24" t="s">
        <v>289</v>
      </c>
      <c r="L400" s="56">
        <f t="shared" si="26"/>
        <v>1093.5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27951.5</v>
      </c>
      <c r="H401" s="47">
        <f>SUM(H395:H400)</f>
        <v>1055.1500000000001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29006.65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42951.5</v>
      </c>
      <c r="H408" s="47">
        <f>H393+H401+H407</f>
        <v>1168.9000000000001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44120.4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50450.78</v>
      </c>
      <c r="G440" s="18">
        <f>189546.3+1093.5</f>
        <v>190639.8</v>
      </c>
      <c r="H440" s="18"/>
      <c r="I440" s="56">
        <f t="shared" si="33"/>
        <v>241090.58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50450.78</v>
      </c>
      <c r="G446" s="13">
        <f>SUM(G439:G445)</f>
        <v>190639.8</v>
      </c>
      <c r="H446" s="13">
        <f>SUM(H439:H445)</f>
        <v>0</v>
      </c>
      <c r="I446" s="13">
        <f>SUM(I439:I445)</f>
        <v>241090.58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50450.78</v>
      </c>
      <c r="G459" s="18">
        <f>189546.3+1093.5</f>
        <v>190639.8</v>
      </c>
      <c r="H459" s="18"/>
      <c r="I459" s="56">
        <f t="shared" si="34"/>
        <v>241090.58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50450.78</v>
      </c>
      <c r="G460" s="83">
        <f>SUM(G454:G459)</f>
        <v>190639.8</v>
      </c>
      <c r="H460" s="83">
        <f>SUM(H454:H459)</f>
        <v>0</v>
      </c>
      <c r="I460" s="83">
        <f>SUM(I454:I459)</f>
        <v>241090.58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50450.78</v>
      </c>
      <c r="G461" s="42">
        <f>G452+G460</f>
        <v>190639.8</v>
      </c>
      <c r="H461" s="42">
        <f>H452+H460</f>
        <v>0</v>
      </c>
      <c r="I461" s="42">
        <f>I452+I460</f>
        <v>241090.58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270795.19</v>
      </c>
      <c r="G465" s="18">
        <v>0</v>
      </c>
      <c r="H465" s="18">
        <v>0</v>
      </c>
      <c r="I465" s="18">
        <v>0</v>
      </c>
      <c r="J465" s="18">
        <v>196970.18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3311455.15</v>
      </c>
      <c r="G468" s="18">
        <v>106798.54000000001</v>
      </c>
      <c r="H468" s="18">
        <v>63692.92</v>
      </c>
      <c r="I468" s="18">
        <v>40000</v>
      </c>
      <c r="J468" s="18">
        <f>1168.9+15000+26858+1093.5</f>
        <v>44120.4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3311455.15</v>
      </c>
      <c r="G470" s="53">
        <f>SUM(G468:G469)</f>
        <v>106798.54000000001</v>
      </c>
      <c r="H470" s="53">
        <f>SUM(H468:H469)</f>
        <v>63692.92</v>
      </c>
      <c r="I470" s="53">
        <f>SUM(I468:I469)</f>
        <v>40000</v>
      </c>
      <c r="J470" s="53">
        <f>SUM(J468:J469)</f>
        <v>44120.4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3464738.16</v>
      </c>
      <c r="G472" s="18">
        <v>105298.54000000001</v>
      </c>
      <c r="H472" s="18">
        <v>63692.92</v>
      </c>
      <c r="I472" s="18">
        <v>55000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3464738.16</v>
      </c>
      <c r="G474" s="53">
        <f>SUM(G472:G473)</f>
        <v>105298.54000000001</v>
      </c>
      <c r="H474" s="53">
        <f>SUM(H472:H473)</f>
        <v>63692.92</v>
      </c>
      <c r="I474" s="53">
        <f>SUM(I472:I473)</f>
        <v>55000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117512.1799999997</v>
      </c>
      <c r="G476" s="53">
        <f>(G465+G470)- G474</f>
        <v>1500</v>
      </c>
      <c r="H476" s="53">
        <f>(H465+H470)- H474</f>
        <v>0</v>
      </c>
      <c r="I476" s="53">
        <f>(I465+I470)- I474</f>
        <v>-15000</v>
      </c>
      <c r="J476" s="53">
        <f>(J465+J470)- J474</f>
        <v>241090.58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440000</v>
      </c>
      <c r="G493" s="18">
        <v>215000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4.28</v>
      </c>
      <c r="G494" s="18">
        <v>1.99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165000</v>
      </c>
      <c r="G495" s="18">
        <v>80000</v>
      </c>
      <c r="H495" s="18"/>
      <c r="I495" s="18"/>
      <c r="J495" s="18"/>
      <c r="K495" s="53">
        <f>SUM(F495:J495)</f>
        <v>245000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45000</v>
      </c>
      <c r="G497" s="18">
        <v>40000</v>
      </c>
      <c r="H497" s="18"/>
      <c r="I497" s="18"/>
      <c r="J497" s="18"/>
      <c r="K497" s="53">
        <f t="shared" si="35"/>
        <v>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120000</v>
      </c>
      <c r="G498" s="204">
        <v>40000</v>
      </c>
      <c r="H498" s="204"/>
      <c r="I498" s="204"/>
      <c r="J498" s="204"/>
      <c r="K498" s="205">
        <f t="shared" si="35"/>
        <v>160000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3000+2000+2000+1000+1000</f>
        <v>9000</v>
      </c>
      <c r="G499" s="18">
        <v>600</v>
      </c>
      <c r="H499" s="18"/>
      <c r="I499" s="18"/>
      <c r="J499" s="18"/>
      <c r="K499" s="53">
        <f t="shared" si="35"/>
        <v>9600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129000</v>
      </c>
      <c r="G500" s="42">
        <f>SUM(G498:G499)</f>
        <v>40600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169600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40000</v>
      </c>
      <c r="G501" s="204">
        <v>40000</v>
      </c>
      <c r="H501" s="204"/>
      <c r="I501" s="204"/>
      <c r="J501" s="204"/>
      <c r="K501" s="205">
        <f t="shared" si="35"/>
        <v>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5000</v>
      </c>
      <c r="G502" s="18">
        <v>600</v>
      </c>
      <c r="H502" s="18"/>
      <c r="I502" s="18"/>
      <c r="J502" s="18"/>
      <c r="K502" s="53">
        <f t="shared" si="35"/>
        <v>5600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45000</v>
      </c>
      <c r="G503" s="42">
        <f>SUM(G501:G502)</f>
        <v>40600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85600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45355.18+39258.35+21581.47-1255.28+12287.16</f>
        <v>117226.88</v>
      </c>
      <c r="G521" s="18">
        <f>27005.14+1090.79+145.1+238.08+8647.27+6287.11+626.25-96.02-4.89</f>
        <v>43938.830000000009</v>
      </c>
      <c r="H521" s="18">
        <f>2339.5+79009.56+4095.8</f>
        <v>85444.86</v>
      </c>
      <c r="I521" s="18">
        <f>341.1+733.95</f>
        <v>1075.0500000000002</v>
      </c>
      <c r="J521" s="18"/>
      <c r="K521" s="18"/>
      <c r="L521" s="88">
        <f>SUM(F521:K521)</f>
        <v>247685.62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235604.32</v>
      </c>
      <c r="I523" s="18"/>
      <c r="J523" s="18"/>
      <c r="K523" s="18"/>
      <c r="L523" s="88">
        <f>SUM(F523:K523)</f>
        <v>235604.32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117226.88</v>
      </c>
      <c r="G524" s="108">
        <f t="shared" ref="G524:L524" si="36">SUM(G521:G523)</f>
        <v>43938.830000000009</v>
      </c>
      <c r="H524" s="108">
        <f t="shared" si="36"/>
        <v>321049.18</v>
      </c>
      <c r="I524" s="108">
        <f t="shared" si="36"/>
        <v>1075.0500000000002</v>
      </c>
      <c r="J524" s="108">
        <f t="shared" si="36"/>
        <v>0</v>
      </c>
      <c r="K524" s="108">
        <f t="shared" si="36"/>
        <v>0</v>
      </c>
      <c r="L524" s="89">
        <f t="shared" si="36"/>
        <v>483289.94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4907.76</f>
        <v>4907.76</v>
      </c>
      <c r="G526" s="18">
        <f>375.4+26.07</f>
        <v>401.46999999999997</v>
      </c>
      <c r="H526" s="18">
        <f>2333.34+46575.3+27092.73+18282.86</f>
        <v>94284.23</v>
      </c>
      <c r="I526" s="18"/>
      <c r="J526" s="18"/>
      <c r="K526" s="18"/>
      <c r="L526" s="88">
        <f>SUM(F526:K526)</f>
        <v>99593.459999999992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4907.76</v>
      </c>
      <c r="G529" s="89">
        <f t="shared" ref="G529:L529" si="37">SUM(G526:G528)</f>
        <v>401.46999999999997</v>
      </c>
      <c r="H529" s="89">
        <f t="shared" si="37"/>
        <v>94284.23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99593.459999999992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17178</v>
      </c>
      <c r="I531" s="18"/>
      <c r="J531" s="18"/>
      <c r="K531" s="18">
        <v>127.44</v>
      </c>
      <c r="L531" s="88">
        <f>SUM(F531:K531)</f>
        <v>17305.439999999999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17178</v>
      </c>
      <c r="I534" s="89">
        <f t="shared" si="38"/>
        <v>0</v>
      </c>
      <c r="J534" s="89">
        <f t="shared" si="38"/>
        <v>0</v>
      </c>
      <c r="K534" s="89">
        <f t="shared" si="38"/>
        <v>127.44</v>
      </c>
      <c r="L534" s="89">
        <f t="shared" si="38"/>
        <v>17305.439999999999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16215</v>
      </c>
      <c r="I541" s="18"/>
      <c r="J541" s="18"/>
      <c r="K541" s="18"/>
      <c r="L541" s="88">
        <f>SUM(F541:K541)</f>
        <v>16215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16215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16215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122134.64</v>
      </c>
      <c r="G545" s="89">
        <f t="shared" ref="G545:L545" si="41">G524+G529+G534+G539+G544</f>
        <v>44340.30000000001</v>
      </c>
      <c r="H545" s="89">
        <f t="shared" si="41"/>
        <v>448726.41</v>
      </c>
      <c r="I545" s="89">
        <f t="shared" si="41"/>
        <v>1075.0500000000002</v>
      </c>
      <c r="J545" s="89">
        <f t="shared" si="41"/>
        <v>0</v>
      </c>
      <c r="K545" s="89">
        <f t="shared" si="41"/>
        <v>127.44</v>
      </c>
      <c r="L545" s="89">
        <f t="shared" si="41"/>
        <v>616403.84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247685.62</v>
      </c>
      <c r="G549" s="87">
        <f>L526</f>
        <v>99593.459999999992</v>
      </c>
      <c r="H549" s="87">
        <f>L531</f>
        <v>17305.439999999999</v>
      </c>
      <c r="I549" s="87">
        <f>L536</f>
        <v>0</v>
      </c>
      <c r="J549" s="87">
        <f>L541</f>
        <v>16215</v>
      </c>
      <c r="K549" s="87">
        <f>SUM(F549:J549)</f>
        <v>380799.51999999996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235604.32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235604.32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483289.94</v>
      </c>
      <c r="G552" s="89">
        <f t="shared" si="42"/>
        <v>99593.459999999992</v>
      </c>
      <c r="H552" s="89">
        <f t="shared" si="42"/>
        <v>17305.439999999999</v>
      </c>
      <c r="I552" s="89">
        <f t="shared" si="42"/>
        <v>0</v>
      </c>
      <c r="J552" s="89">
        <f t="shared" si="42"/>
        <v>16215</v>
      </c>
      <c r="K552" s="89">
        <f t="shared" si="42"/>
        <v>616403.84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771001.71</v>
      </c>
      <c r="I575" s="87">
        <f>SUM(F575:H575)</f>
        <v>771001.71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4095.8</v>
      </c>
      <c r="G579" s="18"/>
      <c r="H579" s="18">
        <v>235604.32</v>
      </c>
      <c r="I579" s="87">
        <f t="shared" si="47"/>
        <v>239700.12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79009.56</v>
      </c>
      <c r="G582" s="18"/>
      <c r="H582" s="18"/>
      <c r="I582" s="87">
        <f t="shared" si="47"/>
        <v>79009.56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143551.46</v>
      </c>
      <c r="I591" s="18"/>
      <c r="J591" s="18">
        <v>52277.35</v>
      </c>
      <c r="K591" s="104">
        <f t="shared" ref="K591:K597" si="48">SUM(H591:J591)</f>
        <v>195828.81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16215</v>
      </c>
      <c r="I592" s="18"/>
      <c r="J592" s="18"/>
      <c r="K592" s="104">
        <f t="shared" si="48"/>
        <v>16215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2530.25</v>
      </c>
      <c r="I594" s="18"/>
      <c r="J594" s="18"/>
      <c r="K594" s="104">
        <f t="shared" si="48"/>
        <v>2530.25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3904.75</v>
      </c>
      <c r="I595" s="18"/>
      <c r="J595" s="18"/>
      <c r="K595" s="104">
        <f t="shared" si="48"/>
        <v>3904.75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166201.46</v>
      </c>
      <c r="I598" s="108">
        <f>SUM(I591:I597)</f>
        <v>0</v>
      </c>
      <c r="J598" s="108">
        <f>SUM(J591:J597)</f>
        <v>52277.35</v>
      </c>
      <c r="K598" s="108">
        <f>SUM(K591:K597)</f>
        <v>218478.81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11436.48-377</f>
        <v>11059.48</v>
      </c>
      <c r="I604" s="18"/>
      <c r="J604" s="18"/>
      <c r="K604" s="104">
        <f>SUM(H604:J604)</f>
        <v>11059.48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11059.48</v>
      </c>
      <c r="I605" s="108">
        <f>SUM(I602:I604)</f>
        <v>0</v>
      </c>
      <c r="J605" s="108">
        <f>SUM(J602:J604)</f>
        <v>0</v>
      </c>
      <c r="K605" s="108">
        <f>SUM(K602:K604)</f>
        <v>11059.48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160666.40000000002</v>
      </c>
      <c r="H617" s="109">
        <f>SUM(F52)</f>
        <v>160666.4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4293.82</v>
      </c>
      <c r="H618" s="109">
        <f>SUM(G52)</f>
        <v>4293.82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28616.080000000002</v>
      </c>
      <c r="H619" s="109">
        <f>SUM(H52)</f>
        <v>28616.079999999998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241090.58</v>
      </c>
      <c r="H621" s="109">
        <f>SUM(J52)</f>
        <v>241090.58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117512.18</v>
      </c>
      <c r="H622" s="109">
        <f>F476</f>
        <v>117512.1799999997</v>
      </c>
      <c r="I622" s="121" t="s">
        <v>101</v>
      </c>
      <c r="J622" s="109">
        <f t="shared" ref="J622:J655" si="50">G622-H622</f>
        <v>2.9103830456733704E-10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1500</v>
      </c>
      <c r="H623" s="109">
        <f>G476</f>
        <v>1500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-15000</v>
      </c>
      <c r="H625" s="109">
        <f>I476</f>
        <v>-15000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241090.58</v>
      </c>
      <c r="H626" s="109">
        <f>J476</f>
        <v>241090.58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3311455.15</v>
      </c>
      <c r="H627" s="104">
        <f>SUM(F468)</f>
        <v>3311455.15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106798.54000000001</v>
      </c>
      <c r="H628" s="104">
        <f>SUM(G468)</f>
        <v>106798.54000000001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63692.92</v>
      </c>
      <c r="H629" s="104">
        <f>SUM(H468)</f>
        <v>63692.92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40000</v>
      </c>
      <c r="H630" s="104">
        <f>SUM(I468)</f>
        <v>40000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44120.4</v>
      </c>
      <c r="H631" s="104">
        <f>SUM(J468)</f>
        <v>44120.4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3464738.16</v>
      </c>
      <c r="H632" s="104">
        <f>SUM(F472)</f>
        <v>3464738.16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63692.92</v>
      </c>
      <c r="H633" s="104">
        <f>SUM(H472)</f>
        <v>63692.92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49290.759999999995</v>
      </c>
      <c r="H634" s="104">
        <f>I369</f>
        <v>49290.759999999995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105298.54000000001</v>
      </c>
      <c r="H635" s="104">
        <f>SUM(G472)</f>
        <v>105298.54000000001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55000</v>
      </c>
      <c r="H636" s="104">
        <f>SUM(I472)</f>
        <v>55000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44120.4</v>
      </c>
      <c r="H637" s="164">
        <f>SUM(J468)</f>
        <v>44120.4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50450.78</v>
      </c>
      <c r="H639" s="104">
        <f>SUM(F461)</f>
        <v>50450.78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190639.8</v>
      </c>
      <c r="H640" s="104">
        <f>SUM(G461)</f>
        <v>190639.8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241090.58</v>
      </c>
      <c r="H642" s="104">
        <f>SUM(I461)</f>
        <v>241090.58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1168.9000000000001</v>
      </c>
      <c r="H644" s="104">
        <f>H408</f>
        <v>1168.9000000000001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42951.5</v>
      </c>
      <c r="H645" s="104">
        <f>G408</f>
        <v>42951.5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44120.4</v>
      </c>
      <c r="H646" s="104">
        <f>L408</f>
        <v>44120.4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218478.81</v>
      </c>
      <c r="H647" s="104">
        <f>L208+L226+L244</f>
        <v>218478.81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11059.48</v>
      </c>
      <c r="H648" s="104">
        <f>(J257+J338)-(J255+J336)</f>
        <v>11059.48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166201.46</v>
      </c>
      <c r="H649" s="104">
        <f>H598</f>
        <v>166201.46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52277.35</v>
      </c>
      <c r="H651" s="104">
        <f>J598</f>
        <v>52277.35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45894.16</v>
      </c>
      <c r="H652" s="104">
        <f>K263+K345</f>
        <v>45894.16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40000</v>
      </c>
      <c r="H654" s="104">
        <f>K265+K346</f>
        <v>40000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42951.5</v>
      </c>
      <c r="H655" s="104">
        <f>K266+K347</f>
        <v>42951.5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2352044.33</v>
      </c>
      <c r="G660" s="19">
        <f>(L229+L309+L359)</f>
        <v>0</v>
      </c>
      <c r="H660" s="19">
        <f>(L247+L328+L360)</f>
        <v>1058883.3800000001</v>
      </c>
      <c r="I660" s="19">
        <f>SUM(F660:H660)</f>
        <v>3410927.71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31804.35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31804.35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166201.46</v>
      </c>
      <c r="G662" s="19">
        <f>(L226+L306)-(J226+J306)</f>
        <v>0</v>
      </c>
      <c r="H662" s="19">
        <f>(L244+L325)-(J244+J325)</f>
        <v>52277.35</v>
      </c>
      <c r="I662" s="19">
        <f>SUM(F662:H662)</f>
        <v>218478.81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94164.84</v>
      </c>
      <c r="G663" s="199">
        <f>SUM(G575:G587)+SUM(I602:I604)+L612</f>
        <v>0</v>
      </c>
      <c r="H663" s="199">
        <f>SUM(H575:H587)+SUM(J602:J604)+L613</f>
        <v>1006606.03</v>
      </c>
      <c r="I663" s="19">
        <f>SUM(F663:H663)</f>
        <v>1100770.8700000001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2059873.6800000002</v>
      </c>
      <c r="G664" s="19">
        <f>G660-SUM(G661:G663)</f>
        <v>0</v>
      </c>
      <c r="H664" s="19">
        <f>H660-SUM(H661:H663)</f>
        <v>0</v>
      </c>
      <c r="I664" s="19">
        <f>I660-SUM(I661:I663)</f>
        <v>2059873.68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155.43</v>
      </c>
      <c r="G665" s="248"/>
      <c r="H665" s="248"/>
      <c r="I665" s="19">
        <f>SUM(F665:H665)</f>
        <v>155.43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13252.74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13252.74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13252.74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13252.74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8" sqref="B28:C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WESTMORELAND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653052.38</v>
      </c>
      <c r="C9" s="229">
        <f>'DOE25'!G197+'DOE25'!G215+'DOE25'!G233+'DOE25'!G276+'DOE25'!G295+'DOE25'!G314</f>
        <v>283601.03999999998</v>
      </c>
    </row>
    <row r="10" spans="1:3" x14ac:dyDescent="0.2">
      <c r="A10" t="s">
        <v>779</v>
      </c>
      <c r="B10" s="240">
        <v>595974.46</v>
      </c>
      <c r="C10" s="240">
        <v>262765.71000000002</v>
      </c>
    </row>
    <row r="11" spans="1:3" x14ac:dyDescent="0.2">
      <c r="A11" t="s">
        <v>780</v>
      </c>
      <c r="B11" s="240">
        <v>47977.83</v>
      </c>
      <c r="C11" s="240">
        <v>20835.330000000002</v>
      </c>
    </row>
    <row r="12" spans="1:3" x14ac:dyDescent="0.2">
      <c r="A12" t="s">
        <v>781</v>
      </c>
      <c r="B12" s="240">
        <v>9100.09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653052.37999999989</v>
      </c>
      <c r="C13" s="231">
        <f>SUM(C10:C12)</f>
        <v>283601.04000000004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117226.88</v>
      </c>
      <c r="C18" s="229">
        <f>'DOE25'!G198+'DOE25'!G216+'DOE25'!G234+'DOE25'!G277+'DOE25'!G296+'DOE25'!G315</f>
        <v>43938.829999999994</v>
      </c>
    </row>
    <row r="19" spans="1:3" x14ac:dyDescent="0.2">
      <c r="A19" t="s">
        <v>779</v>
      </c>
      <c r="B19" s="240">
        <v>56387.06</v>
      </c>
      <c r="C19" s="240">
        <v>21134.93</v>
      </c>
    </row>
    <row r="20" spans="1:3" x14ac:dyDescent="0.2">
      <c r="A20" t="s">
        <v>780</v>
      </c>
      <c r="B20" s="240">
        <v>39258.35</v>
      </c>
      <c r="C20" s="240">
        <v>22803.9</v>
      </c>
    </row>
    <row r="21" spans="1:3" x14ac:dyDescent="0.2">
      <c r="A21" t="s">
        <v>781</v>
      </c>
      <c r="B21" s="240">
        <v>21581.47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117226.88</v>
      </c>
      <c r="C22" s="231">
        <f>SUM(C19:C21)</f>
        <v>43938.83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12209.539999999999</v>
      </c>
      <c r="C36" s="235">
        <f>'DOE25'!G200+'DOE25'!G218+'DOE25'!G236+'DOE25'!G279+'DOE25'!G298+'DOE25'!G317</f>
        <v>2332.8200000000002</v>
      </c>
    </row>
    <row r="37" spans="1:3" x14ac:dyDescent="0.2">
      <c r="A37" t="s">
        <v>779</v>
      </c>
      <c r="B37" s="240">
        <v>11129.54</v>
      </c>
      <c r="C37" s="240">
        <v>2126.4699999999998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1080</v>
      </c>
      <c r="C39" s="240">
        <v>206.35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12209.54</v>
      </c>
      <c r="C40" s="231">
        <f>SUM(C37:C39)</f>
        <v>2332.8199999999997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WESTMORELAND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2207972.83</v>
      </c>
      <c r="D5" s="20">
        <f>SUM('DOE25'!L197:L200)+SUM('DOE25'!L215:L218)+SUM('DOE25'!L233:L236)-F5-G5</f>
        <v>2201327.37</v>
      </c>
      <c r="E5" s="243"/>
      <c r="F5" s="255">
        <f>SUM('DOE25'!J197:J200)+SUM('DOE25'!J215:J218)+SUM('DOE25'!J233:J236)</f>
        <v>4014.48</v>
      </c>
      <c r="G5" s="53">
        <f>SUM('DOE25'!K197:K200)+SUM('DOE25'!K215:K218)+SUM('DOE25'!K233:K236)</f>
        <v>2630.98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135260.96999999997</v>
      </c>
      <c r="D6" s="20">
        <f>'DOE25'!L202+'DOE25'!L220+'DOE25'!L238-F6-G6</f>
        <v>135260.96999999997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69780.17</v>
      </c>
      <c r="D7" s="20">
        <f>'DOE25'!L203+'DOE25'!L221+'DOE25'!L239-F7-G7</f>
        <v>69780.17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155223</v>
      </c>
      <c r="D8" s="243"/>
      <c r="E8" s="20">
        <f>'DOE25'!L204+'DOE25'!L222+'DOE25'!L240-F8-G8-D9-D11</f>
        <v>155223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4423.28</v>
      </c>
      <c r="D9" s="244">
        <f>1748.35+100+2163.6+80+231.33+100</f>
        <v>4423.28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6800</v>
      </c>
      <c r="D10" s="243"/>
      <c r="E10" s="244">
        <v>6800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31732</v>
      </c>
      <c r="D11" s="244">
        <v>31732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171470.6</v>
      </c>
      <c r="D12" s="20">
        <f>'DOE25'!L205+'DOE25'!L223+'DOE25'!L241-F12-G12</f>
        <v>170099.6</v>
      </c>
      <c r="E12" s="243"/>
      <c r="F12" s="255">
        <f>'DOE25'!J205+'DOE25'!J223+'DOE25'!J241</f>
        <v>1047</v>
      </c>
      <c r="G12" s="53">
        <f>'DOE25'!K205+'DOE25'!K223+'DOE25'!K241</f>
        <v>324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245055.94</v>
      </c>
      <c r="D14" s="20">
        <f>'DOE25'!L207+'DOE25'!L225+'DOE25'!L243-F14-G14</f>
        <v>245055.94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218478.81</v>
      </c>
      <c r="D15" s="20">
        <f>'DOE25'!L208+'DOE25'!L226+'DOE25'!L244-F15-G15</f>
        <v>218478.81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2538.65</v>
      </c>
      <c r="D16" s="243"/>
      <c r="E16" s="20">
        <f>'DOE25'!L209+'DOE25'!L227+'DOE25'!L245-F16-G16</f>
        <v>2538.65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93956.25</v>
      </c>
      <c r="D25" s="243"/>
      <c r="E25" s="243"/>
      <c r="F25" s="258"/>
      <c r="G25" s="256"/>
      <c r="H25" s="257">
        <f>'DOE25'!L260+'DOE25'!L261+'DOE25'!L341+'DOE25'!L342</f>
        <v>93956.25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64468.55000000001</v>
      </c>
      <c r="D29" s="20">
        <f>'DOE25'!L358+'DOE25'!L359+'DOE25'!L360-'DOE25'!I367-F29-G29</f>
        <v>64091.55000000001</v>
      </c>
      <c r="E29" s="243"/>
      <c r="F29" s="255">
        <f>'DOE25'!J358+'DOE25'!J359+'DOE25'!J360</f>
        <v>377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63692.92</v>
      </c>
      <c r="D31" s="20">
        <f>'DOE25'!L290+'DOE25'!L309+'DOE25'!L328+'DOE25'!L333+'DOE25'!L334+'DOE25'!L335-F31-G31</f>
        <v>56357.479999999996</v>
      </c>
      <c r="E31" s="243"/>
      <c r="F31" s="255">
        <f>'DOE25'!J290+'DOE25'!J309+'DOE25'!J328+'DOE25'!J333+'DOE25'!J334+'DOE25'!J335</f>
        <v>5998</v>
      </c>
      <c r="G31" s="53">
        <f>'DOE25'!K290+'DOE25'!K309+'DOE25'!K328+'DOE25'!K333+'DOE25'!K334+'DOE25'!K335</f>
        <v>1337.44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3196607.1699999995</v>
      </c>
      <c r="E33" s="246">
        <f>SUM(E5:E31)</f>
        <v>164561.65</v>
      </c>
      <c r="F33" s="246">
        <f>SUM(F5:F31)</f>
        <v>11436.48</v>
      </c>
      <c r="G33" s="246">
        <f>SUM(G5:G31)</f>
        <v>4292.42</v>
      </c>
      <c r="H33" s="246">
        <f>SUM(H5:H31)</f>
        <v>93956.25</v>
      </c>
    </row>
    <row r="35" spans="2:8" ht="12" thickBot="1" x14ac:dyDescent="0.25">
      <c r="B35" s="253" t="s">
        <v>847</v>
      </c>
      <c r="D35" s="254">
        <f>E33</f>
        <v>164561.65</v>
      </c>
      <c r="E35" s="249"/>
    </row>
    <row r="36" spans="2:8" ht="12" thickTop="1" x14ac:dyDescent="0.2">
      <c r="B36" t="s">
        <v>815</v>
      </c>
      <c r="D36" s="20">
        <f>D33</f>
        <v>3196607.1699999995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93936.63</v>
      </c>
      <c r="D8" s="95">
        <f>'DOE25'!G9</f>
        <v>1500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14346.55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241090.58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41200.28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10609.97</v>
      </c>
      <c r="D12" s="95">
        <f>'DOE25'!G13</f>
        <v>2669.12</v>
      </c>
      <c r="E12" s="95">
        <f>'DOE25'!H13</f>
        <v>28616.080000000002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572.97</v>
      </c>
      <c r="D13" s="95">
        <f>'DOE25'!G14</f>
        <v>124.7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160666.40000000002</v>
      </c>
      <c r="D18" s="41">
        <f>SUM(D8:D17)</f>
        <v>4293.82</v>
      </c>
      <c r="E18" s="41">
        <f>SUM(E8:E17)</f>
        <v>28616.080000000002</v>
      </c>
      <c r="F18" s="41">
        <f>SUM(F8:F17)</f>
        <v>0</v>
      </c>
      <c r="G18" s="41">
        <f>SUM(G8:G17)</f>
        <v>241090.58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116.23</v>
      </c>
      <c r="E21" s="95">
        <f>'DOE25'!H22</f>
        <v>26084.05</v>
      </c>
      <c r="F21" s="95">
        <f>'DOE25'!I22</f>
        <v>15000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966.98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32240.42</v>
      </c>
      <c r="D23" s="95">
        <f>'DOE25'!G24</f>
        <v>524.17999999999995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9946.82</v>
      </c>
      <c r="D27" s="95">
        <f>'DOE25'!G28</f>
        <v>1487.09</v>
      </c>
      <c r="E27" s="95">
        <f>'DOE25'!H28</f>
        <v>2532.0300000000002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666.32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43154.22</v>
      </c>
      <c r="D31" s="41">
        <f>SUM(D21:D30)</f>
        <v>2793.82</v>
      </c>
      <c r="E31" s="41">
        <f>SUM(E21:E30)</f>
        <v>28616.079999999998</v>
      </c>
      <c r="F31" s="41">
        <f>SUM(F21:F30)</f>
        <v>15000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1500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-15000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41130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241090.58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3784.29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72597.89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117512.18</v>
      </c>
      <c r="D50" s="41">
        <f>SUM(D34:D49)</f>
        <v>1500</v>
      </c>
      <c r="E50" s="41">
        <f>SUM(E34:E49)</f>
        <v>0</v>
      </c>
      <c r="F50" s="41">
        <f>SUM(F34:F49)</f>
        <v>-15000</v>
      </c>
      <c r="G50" s="41">
        <f>SUM(G34:G49)</f>
        <v>241090.58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160666.4</v>
      </c>
      <c r="D51" s="41">
        <f>D50+D31</f>
        <v>4293.82</v>
      </c>
      <c r="E51" s="41">
        <f>E50+E31</f>
        <v>28616.079999999998</v>
      </c>
      <c r="F51" s="41">
        <f>F50+F31</f>
        <v>0</v>
      </c>
      <c r="G51" s="41">
        <f>G50+G31</f>
        <v>241090.58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2102831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1718.06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298.66000000000003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1168.9000000000001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30304.35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33874.07</v>
      </c>
      <c r="D61" s="95">
        <f>SUM('DOE25'!G98:G110)</f>
        <v>1500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36490.79</v>
      </c>
      <c r="D62" s="130">
        <f>SUM(D57:D61)</f>
        <v>31804.35</v>
      </c>
      <c r="E62" s="130">
        <f>SUM(E57:E61)</f>
        <v>0</v>
      </c>
      <c r="F62" s="130">
        <f>SUM(F57:F61)</f>
        <v>0</v>
      </c>
      <c r="G62" s="130">
        <f>SUM(G57:G61)</f>
        <v>1168.9000000000001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2139321.79</v>
      </c>
      <c r="D63" s="22">
        <f>D56+D62</f>
        <v>31804.35</v>
      </c>
      <c r="E63" s="22">
        <f>E56+E62</f>
        <v>0</v>
      </c>
      <c r="F63" s="22">
        <f>F56+F62</f>
        <v>0</v>
      </c>
      <c r="G63" s="22">
        <f>G56+G62</f>
        <v>1168.9000000000001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676872.8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428422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1105294.8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28230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20964.3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797.56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49194.3</v>
      </c>
      <c r="D78" s="130">
        <f>SUM(D72:D77)</f>
        <v>797.56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1154489.1000000001</v>
      </c>
      <c r="D81" s="130">
        <f>SUM(D79:D80)+D78+D70</f>
        <v>797.56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17644.259999999998</v>
      </c>
      <c r="D88" s="95">
        <f>SUM('DOE25'!G153:G161)</f>
        <v>28302.47</v>
      </c>
      <c r="E88" s="95">
        <f>SUM('DOE25'!H153:H161)</f>
        <v>63692.92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17644.259999999998</v>
      </c>
      <c r="D91" s="131">
        <f>SUM(D85:D90)</f>
        <v>28302.47</v>
      </c>
      <c r="E91" s="131">
        <f>SUM(E85:E90)</f>
        <v>63692.92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45894.16</v>
      </c>
      <c r="E96" s="95">
        <f>'DOE25'!H179</f>
        <v>0</v>
      </c>
      <c r="F96" s="95">
        <f>'DOE25'!I179</f>
        <v>40000</v>
      </c>
      <c r="G96" s="95">
        <f>'DOE25'!J179</f>
        <v>42951.5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45894.16</v>
      </c>
      <c r="E103" s="86">
        <f>SUM(E93:E102)</f>
        <v>0</v>
      </c>
      <c r="F103" s="86">
        <f>SUM(F93:F102)</f>
        <v>40000</v>
      </c>
      <c r="G103" s="86">
        <f>SUM(G93:G102)</f>
        <v>42951.5</v>
      </c>
    </row>
    <row r="104" spans="1:7" ht="12.75" thickTop="1" thickBot="1" x14ac:dyDescent="0.25">
      <c r="A104" s="33" t="s">
        <v>765</v>
      </c>
      <c r="C104" s="86">
        <f>C63+C81+C91+C103</f>
        <v>3311455.15</v>
      </c>
      <c r="D104" s="86">
        <f>D63+D81+D91+D103</f>
        <v>106798.54000000001</v>
      </c>
      <c r="E104" s="86">
        <f>E63+E81+E91+E103</f>
        <v>63692.92</v>
      </c>
      <c r="F104" s="86">
        <f>F63+F81+F91+F103</f>
        <v>40000</v>
      </c>
      <c r="G104" s="86">
        <f>G63+G81+G103</f>
        <v>44120.4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1713295.55</v>
      </c>
      <c r="D109" s="24" t="s">
        <v>289</v>
      </c>
      <c r="E109" s="95">
        <f>('DOE25'!L276)+('DOE25'!L295)+('DOE25'!L314)</f>
        <v>23573.13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472358.97</v>
      </c>
      <c r="D110" s="24" t="s">
        <v>289</v>
      </c>
      <c r="E110" s="95">
        <f>('DOE25'!L277)+('DOE25'!L296)+('DOE25'!L315)</f>
        <v>10930.97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22318.309999999998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2207972.83</v>
      </c>
      <c r="D115" s="86">
        <f>SUM(D109:D114)</f>
        <v>0</v>
      </c>
      <c r="E115" s="86">
        <f>SUM(E109:E114)</f>
        <v>34504.1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135260.96999999997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69780.17</v>
      </c>
      <c r="D119" s="24" t="s">
        <v>289</v>
      </c>
      <c r="E119" s="95">
        <f>+('DOE25'!L282)+('DOE25'!L301)+('DOE25'!L320)</f>
        <v>26207.38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191378.28</v>
      </c>
      <c r="D120" s="24" t="s">
        <v>289</v>
      </c>
      <c r="E120" s="95">
        <f>+('DOE25'!L283)+('DOE25'!L302)+('DOE25'!L321)</f>
        <v>1644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171470.6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1337.44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245055.94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218478.81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2538.65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105298.54000000001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1033963.42</v>
      </c>
      <c r="D128" s="86">
        <f>SUM(D118:D127)</f>
        <v>105298.54000000001</v>
      </c>
      <c r="E128" s="86">
        <f>SUM(E118:E127)</f>
        <v>29188.82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55000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8956.25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45894.16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40000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15113.75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29006.65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-1168.9000000000015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222801.91</v>
      </c>
      <c r="D144" s="141">
        <f>SUM(D130:D143)</f>
        <v>0</v>
      </c>
      <c r="E144" s="141">
        <f>SUM(E130:E143)</f>
        <v>0</v>
      </c>
      <c r="F144" s="141">
        <f>SUM(F130:F143)</f>
        <v>55000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3464738.16</v>
      </c>
      <c r="D145" s="86">
        <f>(D115+D128+D144)</f>
        <v>105298.54000000001</v>
      </c>
      <c r="E145" s="86">
        <f>(E115+E128+E144)</f>
        <v>63692.92</v>
      </c>
      <c r="F145" s="86">
        <f>(F115+F128+F144)</f>
        <v>55000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08/07</v>
      </c>
      <c r="C152" s="152" t="str">
        <f>'DOE25'!G491</f>
        <v>08/10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 t="str">
        <f>'DOE25'!G492</f>
        <v>08/15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440000</v>
      </c>
      <c r="C154" s="137">
        <f>'DOE25'!G493</f>
        <v>215000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4.28</v>
      </c>
      <c r="C155" s="137">
        <f>'DOE25'!G494</f>
        <v>1.99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165000</v>
      </c>
      <c r="C156" s="137">
        <f>'DOE25'!G495</f>
        <v>80000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45000</v>
      </c>
      <c r="C158" s="137">
        <f>'DOE25'!G497</f>
        <v>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120000</v>
      </c>
      <c r="C159" s="137">
        <f>'DOE25'!G498</f>
        <v>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160000</v>
      </c>
    </row>
    <row r="160" spans="1:9" x14ac:dyDescent="0.2">
      <c r="A160" s="22" t="s">
        <v>36</v>
      </c>
      <c r="B160" s="137">
        <f>'DOE25'!F499</f>
        <v>9000</v>
      </c>
      <c r="C160" s="137">
        <f>'DOE25'!G499</f>
        <v>600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9600</v>
      </c>
    </row>
    <row r="161" spans="1:7" x14ac:dyDescent="0.2">
      <c r="A161" s="22" t="s">
        <v>37</v>
      </c>
      <c r="B161" s="137">
        <f>'DOE25'!F500</f>
        <v>129000</v>
      </c>
      <c r="C161" s="137">
        <f>'DOE25'!G500</f>
        <v>40600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169600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40000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80000</v>
      </c>
    </row>
    <row r="163" spans="1:7" x14ac:dyDescent="0.2">
      <c r="A163" s="22" t="s">
        <v>39</v>
      </c>
      <c r="B163" s="137">
        <f>'DOE25'!F502</f>
        <v>5000</v>
      </c>
      <c r="C163" s="137">
        <f>'DOE25'!G502</f>
        <v>600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5600</v>
      </c>
    </row>
    <row r="164" spans="1:7" x14ac:dyDescent="0.2">
      <c r="A164" s="22" t="s">
        <v>246</v>
      </c>
      <c r="B164" s="137">
        <f>'DOE25'!F503</f>
        <v>45000</v>
      </c>
      <c r="C164" s="137">
        <f>'DOE25'!G503</f>
        <v>40600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85600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WESTMORELAND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13253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13253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1736869</v>
      </c>
      <c r="D10" s="182">
        <f>ROUND((C10/$C$28)*100,1)</f>
        <v>51.3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483290</v>
      </c>
      <c r="D11" s="182">
        <f>ROUND((C11/$C$28)*100,1)</f>
        <v>14.3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22318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135261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95988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195561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171471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1337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245056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218479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8956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73494.649999999994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3388080.65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55000</v>
      </c>
    </row>
    <row r="30" spans="1:4" x14ac:dyDescent="0.2">
      <c r="B30" s="187" t="s">
        <v>729</v>
      </c>
      <c r="C30" s="180">
        <f>SUM(C28:C29)</f>
        <v>3443080.65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2102831</v>
      </c>
      <c r="D35" s="182">
        <f t="shared" ref="D35:D40" si="1">ROUND((C35/$C$41)*100,1)</f>
        <v>61.7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37659.689999999944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1105295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49992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109640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3405417.69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WESTMORELAND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2015-10-05T13:46:45Z</cp:lastPrinted>
  <dcterms:created xsi:type="dcterms:W3CDTF">1997-12-04T19:04:30Z</dcterms:created>
  <dcterms:modified xsi:type="dcterms:W3CDTF">2015-10-05T13:49:00Z</dcterms:modified>
</cp:coreProperties>
</file>