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200" windowHeight="694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62" i="1" s="1"/>
  <c r="L244" i="1"/>
  <c r="G651" i="1" s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E112" i="2" s="1"/>
  <c r="L319" i="1"/>
  <c r="E118" i="2" s="1"/>
  <c r="L320" i="1"/>
  <c r="L321" i="1"/>
  <c r="L322" i="1"/>
  <c r="L323" i="1"/>
  <c r="L324" i="1"/>
  <c r="L325" i="1"/>
  <c r="E124" i="2" s="1"/>
  <c r="L326" i="1"/>
  <c r="L333" i="1"/>
  <c r="L334" i="1"/>
  <c r="E114" i="2" s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A13" i="12" s="1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79" i="1"/>
  <c r="C57" i="2" s="1"/>
  <c r="F94" i="1"/>
  <c r="F111" i="1"/>
  <c r="G111" i="1"/>
  <c r="G112" i="1" s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40" i="1" s="1"/>
  <c r="J136" i="1"/>
  <c r="F147" i="1"/>
  <c r="C85" i="2" s="1"/>
  <c r="F162" i="1"/>
  <c r="G147" i="1"/>
  <c r="G162" i="1"/>
  <c r="H147" i="1"/>
  <c r="E85" i="2" s="1"/>
  <c r="H162" i="1"/>
  <c r="I147" i="1"/>
  <c r="I162" i="1"/>
  <c r="C11" i="10"/>
  <c r="C12" i="10"/>
  <c r="C13" i="10"/>
  <c r="C16" i="10"/>
  <c r="L250" i="1"/>
  <c r="L332" i="1"/>
  <c r="E113" i="2" s="1"/>
  <c r="L254" i="1"/>
  <c r="C25" i="10"/>
  <c r="L268" i="1"/>
  <c r="C142" i="2" s="1"/>
  <c r="L269" i="1"/>
  <c r="C143" i="2" s="1"/>
  <c r="L349" i="1"/>
  <c r="L350" i="1"/>
  <c r="E143" i="2" s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F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C114" i="2"/>
  <c r="D115" i="2"/>
  <c r="F115" i="2"/>
  <c r="G115" i="2"/>
  <c r="E119" i="2"/>
  <c r="E120" i="2"/>
  <c r="E121" i="2"/>
  <c r="E122" i="2"/>
  <c r="E123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H192" i="1" s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G408" i="1"/>
  <c r="H645" i="1" s="1"/>
  <c r="H408" i="1"/>
  <c r="H644" i="1" s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639" i="1" s="1"/>
  <c r="H461" i="1"/>
  <c r="H641" i="1" s="1"/>
  <c r="I470" i="1"/>
  <c r="H474" i="1"/>
  <c r="I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J545" i="1" s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0" i="1"/>
  <c r="G622" i="1"/>
  <c r="G623" i="1"/>
  <c r="G625" i="1"/>
  <c r="H630" i="1"/>
  <c r="H633" i="1"/>
  <c r="H636" i="1"/>
  <c r="G639" i="1"/>
  <c r="G641" i="1"/>
  <c r="G643" i="1"/>
  <c r="G644" i="1"/>
  <c r="J644" i="1" s="1"/>
  <c r="G645" i="1"/>
  <c r="G650" i="1"/>
  <c r="G652" i="1"/>
  <c r="H652" i="1"/>
  <c r="G653" i="1"/>
  <c r="H653" i="1"/>
  <c r="G654" i="1"/>
  <c r="H654" i="1"/>
  <c r="H655" i="1"/>
  <c r="C70" i="2"/>
  <c r="E78" i="2"/>
  <c r="I169" i="1"/>
  <c r="F169" i="1"/>
  <c r="F571" i="1"/>
  <c r="G22" i="2"/>
  <c r="H552" i="1"/>
  <c r="H140" i="1"/>
  <c r="H25" i="13"/>
  <c r="C25" i="13" s="1"/>
  <c r="H571" i="1"/>
  <c r="H338" i="1"/>
  <c r="H352" i="1" s="1"/>
  <c r="F552" i="1"/>
  <c r="L309" i="1"/>
  <c r="K551" i="1"/>
  <c r="C15" i="10" l="1"/>
  <c r="C123" i="2"/>
  <c r="L229" i="1"/>
  <c r="G660" i="1" s="1"/>
  <c r="A31" i="12"/>
  <c r="F408" i="1"/>
  <c r="H643" i="1" s="1"/>
  <c r="G62" i="2"/>
  <c r="J651" i="1"/>
  <c r="K545" i="1"/>
  <c r="K549" i="1"/>
  <c r="G552" i="1"/>
  <c r="L401" i="1"/>
  <c r="C139" i="2" s="1"/>
  <c r="J655" i="1"/>
  <c r="F130" i="2"/>
  <c r="F144" i="2" s="1"/>
  <c r="F145" i="2" s="1"/>
  <c r="H52" i="1"/>
  <c r="H619" i="1" s="1"/>
  <c r="L270" i="1"/>
  <c r="J640" i="1"/>
  <c r="J643" i="1"/>
  <c r="I545" i="1"/>
  <c r="G545" i="1"/>
  <c r="J639" i="1"/>
  <c r="F338" i="1"/>
  <c r="F352" i="1" s="1"/>
  <c r="J617" i="1"/>
  <c r="E103" i="2"/>
  <c r="E62" i="2"/>
  <c r="E63" i="2" s="1"/>
  <c r="J552" i="1"/>
  <c r="E125" i="2"/>
  <c r="E128" i="2" s="1"/>
  <c r="D19" i="13"/>
  <c r="C19" i="13" s="1"/>
  <c r="D17" i="13"/>
  <c r="C17" i="13" s="1"/>
  <c r="F22" i="13"/>
  <c r="C22" i="13" s="1"/>
  <c r="C29" i="10"/>
  <c r="H647" i="1"/>
  <c r="J641" i="1"/>
  <c r="L570" i="1"/>
  <c r="K571" i="1"/>
  <c r="L560" i="1"/>
  <c r="L529" i="1"/>
  <c r="H545" i="1"/>
  <c r="L427" i="1"/>
  <c r="L419" i="1"/>
  <c r="L434" i="1" s="1"/>
  <c r="J645" i="1"/>
  <c r="L382" i="1"/>
  <c r="G636" i="1" s="1"/>
  <c r="J636" i="1" s="1"/>
  <c r="C124" i="2"/>
  <c r="C118" i="2"/>
  <c r="L351" i="1"/>
  <c r="H169" i="1"/>
  <c r="H112" i="1"/>
  <c r="D127" i="2"/>
  <c r="D128" i="2" s="1"/>
  <c r="C120" i="2"/>
  <c r="H33" i="13"/>
  <c r="E81" i="2"/>
  <c r="C26" i="10"/>
  <c r="G156" i="2"/>
  <c r="D50" i="2"/>
  <c r="F78" i="2"/>
  <c r="F81" i="2" s="1"/>
  <c r="H662" i="1"/>
  <c r="E110" i="2"/>
  <c r="G338" i="1"/>
  <c r="G352" i="1" s="1"/>
  <c r="L328" i="1"/>
  <c r="E109" i="2"/>
  <c r="K338" i="1"/>
  <c r="K352" i="1" s="1"/>
  <c r="L290" i="1"/>
  <c r="L614" i="1"/>
  <c r="K598" i="1"/>
  <c r="G647" i="1" s="1"/>
  <c r="J647" i="1" s="1"/>
  <c r="K605" i="1"/>
  <c r="G648" i="1" s="1"/>
  <c r="L256" i="1"/>
  <c r="K257" i="1"/>
  <c r="K271" i="1" s="1"/>
  <c r="D14" i="13"/>
  <c r="C14" i="13" s="1"/>
  <c r="J257" i="1"/>
  <c r="J271" i="1" s="1"/>
  <c r="I257" i="1"/>
  <c r="I271" i="1" s="1"/>
  <c r="H257" i="1"/>
  <c r="H271" i="1" s="1"/>
  <c r="G257" i="1"/>
  <c r="G271" i="1" s="1"/>
  <c r="C21" i="10"/>
  <c r="L247" i="1"/>
  <c r="C20" i="10"/>
  <c r="C19" i="10"/>
  <c r="C18" i="10"/>
  <c r="D12" i="13"/>
  <c r="C12" i="13" s="1"/>
  <c r="E8" i="13"/>
  <c r="C8" i="13" s="1"/>
  <c r="C119" i="2"/>
  <c r="C112" i="2"/>
  <c r="C110" i="2"/>
  <c r="C10" i="10"/>
  <c r="F257" i="1"/>
  <c r="F271" i="1" s="1"/>
  <c r="C17" i="10"/>
  <c r="E16" i="13"/>
  <c r="D6" i="13"/>
  <c r="C6" i="13" s="1"/>
  <c r="D15" i="13"/>
  <c r="C15" i="13" s="1"/>
  <c r="C109" i="2"/>
  <c r="C122" i="2"/>
  <c r="E13" i="13"/>
  <c r="C13" i="13" s="1"/>
  <c r="G649" i="1"/>
  <c r="J649" i="1" s="1"/>
  <c r="I662" i="1"/>
  <c r="C121" i="2"/>
  <c r="L211" i="1"/>
  <c r="D7" i="13"/>
  <c r="C7" i="13" s="1"/>
  <c r="A40" i="12"/>
  <c r="D5" i="13"/>
  <c r="C5" i="13" s="1"/>
  <c r="F112" i="1"/>
  <c r="G161" i="2"/>
  <c r="G157" i="2"/>
  <c r="D91" i="2"/>
  <c r="D31" i="2"/>
  <c r="D51" i="2" s="1"/>
  <c r="E31" i="2"/>
  <c r="C18" i="2"/>
  <c r="D18" i="2"/>
  <c r="J634" i="1"/>
  <c r="I476" i="1"/>
  <c r="H625" i="1" s="1"/>
  <c r="J625" i="1" s="1"/>
  <c r="F661" i="1"/>
  <c r="G661" i="1"/>
  <c r="D29" i="13"/>
  <c r="C29" i="13" s="1"/>
  <c r="H661" i="1"/>
  <c r="C62" i="2"/>
  <c r="C63" i="2" s="1"/>
  <c r="F192" i="1"/>
  <c r="C91" i="2"/>
  <c r="C78" i="2"/>
  <c r="C81" i="2" s="1"/>
  <c r="D62" i="2"/>
  <c r="D63" i="2" s="1"/>
  <c r="K550" i="1"/>
  <c r="K552" i="1" s="1"/>
  <c r="G624" i="1"/>
  <c r="L544" i="1"/>
  <c r="L534" i="1"/>
  <c r="L524" i="1"/>
  <c r="K500" i="1"/>
  <c r="I460" i="1"/>
  <c r="I452" i="1"/>
  <c r="I446" i="1"/>
  <c r="G642" i="1" s="1"/>
  <c r="D145" i="2"/>
  <c r="L362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H193" i="1"/>
  <c r="G169" i="1"/>
  <c r="C39" i="10" s="1"/>
  <c r="G140" i="1"/>
  <c r="F140" i="1"/>
  <c r="C36" i="10"/>
  <c r="G63" i="2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A22" i="12"/>
  <c r="G50" i="2"/>
  <c r="G51" i="2" s="1"/>
  <c r="J652" i="1"/>
  <c r="G571" i="1"/>
  <c r="I434" i="1"/>
  <c r="G434" i="1"/>
  <c r="I663" i="1"/>
  <c r="L257" i="1" l="1"/>
  <c r="L271" i="1" s="1"/>
  <c r="F472" i="1" s="1"/>
  <c r="F474" i="1" s="1"/>
  <c r="L545" i="1"/>
  <c r="G638" i="1"/>
  <c r="J472" i="1"/>
  <c r="H646" i="1"/>
  <c r="I193" i="1"/>
  <c r="G630" i="1" s="1"/>
  <c r="J630" i="1" s="1"/>
  <c r="G104" i="2"/>
  <c r="F193" i="1"/>
  <c r="G627" i="1" s="1"/>
  <c r="G646" i="1"/>
  <c r="J646" i="1" s="1"/>
  <c r="J468" i="1"/>
  <c r="E104" i="2"/>
  <c r="G635" i="1"/>
  <c r="G472" i="1"/>
  <c r="F104" i="2"/>
  <c r="E115" i="2"/>
  <c r="L338" i="1"/>
  <c r="L352" i="1" s="1"/>
  <c r="G633" i="1" s="1"/>
  <c r="J633" i="1" s="1"/>
  <c r="D31" i="13"/>
  <c r="C31" i="13" s="1"/>
  <c r="H660" i="1"/>
  <c r="H664" i="1" s="1"/>
  <c r="E145" i="2"/>
  <c r="H648" i="1"/>
  <c r="J648" i="1" s="1"/>
  <c r="C115" i="2"/>
  <c r="E33" i="13"/>
  <c r="D35" i="13" s="1"/>
  <c r="C16" i="13"/>
  <c r="C128" i="2"/>
  <c r="F660" i="1"/>
  <c r="C104" i="2"/>
  <c r="F468" i="1"/>
  <c r="G629" i="1"/>
  <c r="H468" i="1"/>
  <c r="C27" i="10"/>
  <c r="C28" i="10" s="1"/>
  <c r="D24" i="10" s="1"/>
  <c r="I661" i="1"/>
  <c r="G664" i="1"/>
  <c r="I461" i="1"/>
  <c r="H642" i="1" s="1"/>
  <c r="J642" i="1" s="1"/>
  <c r="C51" i="2"/>
  <c r="G631" i="1"/>
  <c r="D33" i="13"/>
  <c r="D36" i="13" s="1"/>
  <c r="G193" i="1"/>
  <c r="G626" i="1"/>
  <c r="J52" i="1"/>
  <c r="H621" i="1" s="1"/>
  <c r="J621" i="1" s="1"/>
  <c r="C38" i="10"/>
  <c r="G632" i="1" l="1"/>
  <c r="G474" i="1"/>
  <c r="H635" i="1"/>
  <c r="H638" i="1"/>
  <c r="J474" i="1"/>
  <c r="J635" i="1"/>
  <c r="H631" i="1"/>
  <c r="J631" i="1" s="1"/>
  <c r="J470" i="1"/>
  <c r="J476" i="1" s="1"/>
  <c r="H626" i="1" s="1"/>
  <c r="J626" i="1" s="1"/>
  <c r="H637" i="1"/>
  <c r="J637" i="1" s="1"/>
  <c r="J638" i="1"/>
  <c r="I660" i="1"/>
  <c r="I664" i="1" s="1"/>
  <c r="I672" i="1" s="1"/>
  <c r="C7" i="10" s="1"/>
  <c r="F664" i="1"/>
  <c r="F672" i="1" s="1"/>
  <c r="C4" i="10" s="1"/>
  <c r="C145" i="2"/>
  <c r="H632" i="1"/>
  <c r="D26" i="10"/>
  <c r="G628" i="1"/>
  <c r="G468" i="1"/>
  <c r="F470" i="1"/>
  <c r="F476" i="1" s="1"/>
  <c r="H622" i="1" s="1"/>
  <c r="J622" i="1" s="1"/>
  <c r="H627" i="1"/>
  <c r="J627" i="1" s="1"/>
  <c r="H470" i="1"/>
  <c r="H476" i="1" s="1"/>
  <c r="H624" i="1" s="1"/>
  <c r="J624" i="1" s="1"/>
  <c r="H629" i="1"/>
  <c r="J629" i="1" s="1"/>
  <c r="D10" i="10"/>
  <c r="C30" i="10"/>
  <c r="D16" i="10"/>
  <c r="D23" i="10"/>
  <c r="D13" i="10"/>
  <c r="D11" i="10"/>
  <c r="D21" i="10"/>
  <c r="D22" i="10"/>
  <c r="D27" i="10"/>
  <c r="D20" i="10"/>
  <c r="D18" i="10"/>
  <c r="D15" i="10"/>
  <c r="D17" i="10"/>
  <c r="D25" i="10"/>
  <c r="D12" i="10"/>
  <c r="D19" i="10"/>
  <c r="G667" i="1"/>
  <c r="G672" i="1"/>
  <c r="C5" i="10" s="1"/>
  <c r="H672" i="1"/>
  <c r="C6" i="10" s="1"/>
  <c r="H667" i="1"/>
  <c r="C41" i="10"/>
  <c r="D38" i="10" s="1"/>
  <c r="J632" i="1" l="1"/>
  <c r="F667" i="1"/>
  <c r="I667" i="1"/>
  <c r="H628" i="1"/>
  <c r="H656" i="1" s="1"/>
  <c r="G470" i="1"/>
  <c r="G476" i="1" s="1"/>
  <c r="H623" i="1" s="1"/>
  <c r="J623" i="1" s="1"/>
  <c r="J628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<sst xmlns="http://schemas.openxmlformats.org/spreadsheetml/2006/main" count="3965" uniqueCount="918">
  <si>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</si>
  <si>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</si>
  <si>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</si>
  <si>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</si>
  <si>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</si>
  <si>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</si>
  <si>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</si>
  <si>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</si>
  <si>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</si>
  <si>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</si>
  <si>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</si>
  <si>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</si>
  <si>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</si>
  <si>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</si>
  <si>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</si>
  <si>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</si>
  <si>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</si>
  <si>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</si>
  <si>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</si>
  <si>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</si>
  <si>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</si>
  <si>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</si>
  <si>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</si>
  <si>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</si>
  <si>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</si>
  <si>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</si>
  <si>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</si>
  <si>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</si>
  <si>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</si>
  <si>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</si>
  <si>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</si>
  <si>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</si>
  <si>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</si>
  <si>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</si>
  <si>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</si>
  <si>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</si>
  <si>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</si>
  <si>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</si>
  <si>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</si>
  <si>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</si>
  <si>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</si>
  <si>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</si>
  <si>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</si>
  <si>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</si>
  <si>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</si>
  <si>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</si>
  <si>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</si>
  <si>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</si>
  <si>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</si>
  <si>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</si>
  <si>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</si>
  <si>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</si>
  <si>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</si>
  <si>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</si>
  <si>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</si>
  <si>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</si>
  <si>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</si>
  <si>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</si>
  <si>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</si>
  <si>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</si>
  <si>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</si>
  <si>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</si>
  <si>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</si>
  <si>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</si>
  <si>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</si>
  <si>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</si>
  <si>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</si>
  <si>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</si>
  <si>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</si>
  <si>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</si>
  <si>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</si>
  <si>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</si>
  <si>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</si>
  <si>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</si>
  <si>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</si>
  <si>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</si>
  <si>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</si>
  <si>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</si>
  <si>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</si>
  <si>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</si>
  <si>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</si>
  <si>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</si>
  <si>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</si>
  <si>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</si>
  <si>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</si>
  <si>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</si>
  <si>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</si>
  <si>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</si>
  <si>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</si>
  <si>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</si>
  <si>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</si>
  <si>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</si>
  <si>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</si>
  <si>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</si>
  <si>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</si>
  <si>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</si>
  <si>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</si>
  <si>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</si>
  <si>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</si>
  <si>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</si>
  <si>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</si>
  <si>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</si>
  <si>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</si>
  <si>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</si>
  <si>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</si>
  <si>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</si>
  <si>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</si>
  <si>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</si>
  <si>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</si>
  <si>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</si>
  <si>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</si>
  <si>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</si>
  <si>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</si>
  <si>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</si>
  <si>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</si>
  <si>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</si>
  <si>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</si>
  <si>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</si>
  <si>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</si>
  <si>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</si>
  <si>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</si>
  <si>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</si>
  <si>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</si>
  <si>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</si>
  <si>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</si>
  <si>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</si>
  <si>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</si>
  <si>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</si>
  <si>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</si>
  <si>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</si>
  <si>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</si>
  <si>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</si>
  <si>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</si>
  <si>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</si>
  <si>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</si>
  <si>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</si>
  <si>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</si>
  <si>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</si>
  <si>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</si>
  <si>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</si>
  <si>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</si>
  <si>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</si>
  <si>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</si>
  <si>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</si>
  <si>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</si>
  <si>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</si>
  <si>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</si>
  <si>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</si>
  <si>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</si>
  <si>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</si>
  <si>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</si>
  <si>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</si>
  <si>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</si>
  <si>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</si>
  <si>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</si>
  <si>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</si>
  <si>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</si>
  <si>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</si>
  <si>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</si>
  <si>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</si>
  <si>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</si>
  <si>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</si>
  <si>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</si>
  <si>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</si>
  <si>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</si>
  <si>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</si>
  <si>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</si>
  <si>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</si>
  <si>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</si>
  <si>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</si>
  <si>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</si>
  <si>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</si>
  <si>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</si>
  <si>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</si>
  <si>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</si>
  <si>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</si>
  <si>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</si>
  <si>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</si>
  <si>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</si>
  <si>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</si>
  <si>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</si>
  <si>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</si>
  <si>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</si>
  <si>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</si>
  <si>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</si>
  <si>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</si>
  <si>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</si>
  <si>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</si>
  <si>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</si>
  <si>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</si>
  <si>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</si>
  <si>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</si>
  <si>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</si>
  <si>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</si>
  <si>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</si>
  <si>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</si>
  <si>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</si>
  <si>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</si>
  <si>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</si>
  <si>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</si>
  <si>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</si>
  <si>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</si>
  <si>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</si>
  <si>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</si>
  <si>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</si>
  <si>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</si>
  <si>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</si>
  <si>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</si>
  <si>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</si>
  <si>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</si>
  <si>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</si>
  <si>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</si>
  <si>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</si>
  <si>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</si>
  <si>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</si>
  <si>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</si>
  <si>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</si>
  <si>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</si>
  <si>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</si>
  <si>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</si>
  <si>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</si>
  <si>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</si>
  <si>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</si>
  <si>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</si>
  <si>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</si>
  <si>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</si>
  <si>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</si>
  <si>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</si>
  <si>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</si>
  <si>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</si>
  <si>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</si>
  <si>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</si>
  <si>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</si>
  <si>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</si>
  <si>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</si>
  <si>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</si>
  <si>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</si>
  <si>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</si>
  <si>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</si>
  <si>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</si>
  <si>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</si>
  <si>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</si>
  <si>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</si>
  <si>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</si>
  <si>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</si>
  <si>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</si>
  <si>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</si>
  <si>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</si>
  <si>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</si>
  <si>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</si>
  <si>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</si>
  <si>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</si>
  <si>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</si>
  <si>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</si>
  <si>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</si>
  <si>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</si>
  <si>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</si>
  <si>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</si>
  <si>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</si>
  <si>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</si>
  <si>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</si>
  <si>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</si>
  <si>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</si>
  <si>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</si>
  <si>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</si>
  <si>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</si>
  <si>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</si>
  <si>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</si>
  <si>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</si>
  <si>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</si>
  <si>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</si>
  <si>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</si>
  <si>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</si>
  <si>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</si>
  <si>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</si>
  <si>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</si>
  <si>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</si>
  <si>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</si>
  <si>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</si>
  <si>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</si>
  <si>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</si>
  <si>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</si>
  <si>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</si>
  <si>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</si>
  <si>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</si>
  <si>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</si>
  <si>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</si>
  <si>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</si>
  <si>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</si>
  <si>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</si>
  <si>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</si>
  <si>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</si>
  <si>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</si>
  <si>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</si>
  <si>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</si>
  <si>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</si>
  <si>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</si>
  <si>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</si>
  <si>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</si>
  <si>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</si>
  <si>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</si>
  <si>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</si>
  <si>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</si>
  <si>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</si>
  <si>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</si>
  <si>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</si>
  <si>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</si>
  <si>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</si>
  <si>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</si>
  <si>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</si>
  <si>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</si>
  <si>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</si>
  <si>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</si>
  <si>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</si>
  <si>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</si>
  <si>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</si>
  <si>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</si>
  <si>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</si>
  <si>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</si>
  <si>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</si>
  <si>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</si>
  <si>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</si>
  <si>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</si>
  <si>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</si>
  <si>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</si>
  <si>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</si>
  <si>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</si>
  <si>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</si>
  <si>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</si>
  <si>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</si>
  <si>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</si>
  <si>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</si>
  <si>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</si>
  <si>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</si>
  <si>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</si>
  <si>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</si>
  <si>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</si>
  <si>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</si>
  <si>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</si>
  <si>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</si>
  <si>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</si>
  <si>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</si>
  <si>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</si>
  <si>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</si>
  <si>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</si>
  <si>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</si>
  <si>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</si>
  <si>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</si>
  <si>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</si>
  <si>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</si>
  <si>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</si>
  <si>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</si>
  <si>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</si>
  <si>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</si>
  <si>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</si>
  <si>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</si>
  <si>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</si>
  <si>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</si>
  <si>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</si>
  <si>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</si>
  <si>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</si>
  <si>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</si>
  <si>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</si>
  <si>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</si>
  <si>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</si>
  <si>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</si>
  <si>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</si>
  <si>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</si>
  <si>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</si>
  <si>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</si>
  <si>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</si>
  <si>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</si>
  <si>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</si>
  <si>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</si>
  <si>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</si>
  <si>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</si>
  <si>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</si>
  <si>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</si>
  <si>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</si>
  <si>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</si>
  <si>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</si>
  <si>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</si>
  <si>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</si>
  <si>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</si>
  <si>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</si>
  <si>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</si>
  <si>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</si>
  <si>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</si>
  <si>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</si>
  <si>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</si>
  <si>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</si>
  <si>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</si>
  <si>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</si>
  <si>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</si>
  <si>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</si>
  <si>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</si>
  <si>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</si>
  <si>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</si>
  <si>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</si>
  <si>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</si>
  <si>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</si>
  <si>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</si>
  <si>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</si>
  <si>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</si>
  <si>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</si>
  <si>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</si>
  <si>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</si>
  <si>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</si>
  <si>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</si>
  <si>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</si>
  <si>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</si>
  <si>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</si>
  <si>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</si>
  <si>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</si>
  <si>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</si>
  <si>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</si>
  <si>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</si>
  <si>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</si>
  <si>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</si>
  <si>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</si>
  <si>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</si>
  <si>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</si>
  <si>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</si>
  <si>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</si>
  <si>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</si>
  <si>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</si>
  <si>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</si>
  <si>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</si>
  <si>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</si>
  <si>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</si>
  <si>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</si>
  <si>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</si>
  <si>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</si>
  <si>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</si>
  <si>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</si>
  <si>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</si>
  <si>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</si>
  <si>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</si>
  <si>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</si>
  <si>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</si>
  <si>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</si>
  <si>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</si>
  <si>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</si>
  <si>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</si>
  <si>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</si>
  <si>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</si>
  <si>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</si>
  <si>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</si>
  <si>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</si>
  <si>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</si>
  <si>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</si>
  <si>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</si>
  <si>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</si>
  <si>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</si>
  <si>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</si>
  <si>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</si>
  <si>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</si>
  <si>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</si>
  <si>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</si>
  <si>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</si>
  <si>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</si>
  <si>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</si>
  <si>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</si>
  <si>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</si>
  <si>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</si>
  <si>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</si>
  <si>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</si>
  <si>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</si>
  <si>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</si>
  <si>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</si>
  <si>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</si>
  <si>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</si>
  <si>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</si>
  <si>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</si>
  <si>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</si>
  <si>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</si>
  <si>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</si>
  <si>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</si>
  <si>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</si>
  <si>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</si>
  <si>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</si>
  <si>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</si>
  <si>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</si>
  <si>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</si>
  <si>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</si>
  <si>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</si>
  <si>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</si>
  <si>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</si>
  <si>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</si>
  <si>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</si>
  <si>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</si>
  <si>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</si>
  <si>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</si>
  <si>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</si>
  <si>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</si>
  <si>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</si>
  <si>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</si>
  <si>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</si>
  <si>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</si>
  <si>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</si>
  <si>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</si>
  <si>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</si>
  <si>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</si>
  <si>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</si>
  <si>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</si>
  <si>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</si>
  <si>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</si>
  <si>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</si>
  <si>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</si>
  <si>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</si>
  <si>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</si>
  <si>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</si>
  <si>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</si>
  <si>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</si>
  <si>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</si>
  <si>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</si>
  <si>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</si>
  <si>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</si>
  <si>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</si>
  <si>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</si>
  <si>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</si>
  <si>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</si>
  <si>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</si>
  <si>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</si>
  <si>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</si>
  <si>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</si>
  <si>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</si>
  <si>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</si>
  <si>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</si>
  <si>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</si>
  <si>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</si>
  <si>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</si>
  <si>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</si>
  <si>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</si>
  <si>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</si>
  <si>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</si>
  <si>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</si>
  <si>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</si>
  <si>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</si>
  <si>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</si>
  <si>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</si>
  <si>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</si>
  <si>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</si>
  <si>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</si>
  <si>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</si>
  <si>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</si>
  <si>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</si>
  <si>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</si>
  <si>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</si>
  <si>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</si>
  <si>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</si>
  <si>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</si>
  <si>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</si>
  <si>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</si>
  <si>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</si>
  <si>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</si>
  <si>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</si>
  <si>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</si>
  <si>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</si>
  <si>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</si>
  <si>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</si>
  <si>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</si>
  <si>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</si>
  <si>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</si>
  <si>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</si>
  <si>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</si>
  <si>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</si>
  <si>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</si>
  <si>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</si>
  <si>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</si>
  <si>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</si>
  <si>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</si>
  <si>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</si>
  <si>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</si>
  <si>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</si>
  <si>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</si>
  <si>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</si>
  <si>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</si>
  <si>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</si>
  <si>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</si>
  <si>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</si>
  <si>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</si>
  <si>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</si>
  <si>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</si>
  <si>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</si>
  <si>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</si>
  <si>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</si>
  <si>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</si>
  <si>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</si>
  <si>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</si>
  <si>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</si>
  <si>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</si>
  <si>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</si>
  <si>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</si>
  <si>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</si>
  <si>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</si>
  <si>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</si>
  <si>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</si>
  <si>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</si>
  <si>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</si>
  <si>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</si>
  <si>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</si>
  <si>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</si>
  <si>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</si>
  <si>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</si>
  <si>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</si>
  <si>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</si>
  <si>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</si>
  <si>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</si>
  <si>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</si>
  <si>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</si>
  <si>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</si>
  <si>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</si>
  <si>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</si>
  <si>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</si>
  <si>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</si>
  <si>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</si>
  <si>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</si>
  <si>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</si>
  <si>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</si>
  <si>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</si>
  <si>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</si>
  <si>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</si>
  <si>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</si>
  <si>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</si>
  <si>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</si>
  <si>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</si>
  <si>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</si>
  <si>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</si>
  <si>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</si>
  <si>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</si>
  <si>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</si>
  <si>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</si>
  <si>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</si>
  <si>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</si>
  <si>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</si>
  <si>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</si>
  <si>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</si>
  <si>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</si>
  <si>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</si>
  <si>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</si>
  <si>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</si>
  <si>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</si>
  <si>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</si>
  <si>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</si>
  <si>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</si>
  <si>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</si>
  <si>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</si>
  <si>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</si>
  <si>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</si>
  <si>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</si>
  <si>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</si>
  <si>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</si>
  <si>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</si>
  <si>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</si>
  <si>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</si>
  <si>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</si>
  <si>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</si>
  <si>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</si>
  <si>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</si>
  <si>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</si>
  <si>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</si>
  <si>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</si>
  <si>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</si>
  <si>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</si>
  <si>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</si>
  <si>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</si>
  <si>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</si>
  <si>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</si>
  <si>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</si>
  <si>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</si>
  <si>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</si>
  <si>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</si>
  <si>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</si>
  <si>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</si>
  <si>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</si>
  <si>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</si>
  <si>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</si>
  <si>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</si>
  <si>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</si>
  <si>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</si>
  <si>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</si>
  <si>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</si>
  <si>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</si>
  <si>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</si>
  <si>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</si>
  <si>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</si>
  <si>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</si>
  <si>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</si>
  <si>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</si>
  <si>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</si>
  <si>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</si>
  <si>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</si>
  <si>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</si>
  <si>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</si>
  <si>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</si>
  <si>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</si>
  <si>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</si>
  <si>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</si>
  <si>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</si>
  <si>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</si>
  <si>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</si>
  <si>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</si>
  <si>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</si>
  <si>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</si>
  <si>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</si>
  <si>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</si>
  <si>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</si>
  <si>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</si>
  <si>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</si>
  <si>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</si>
  <si>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</si>
  <si>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</si>
  <si>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</si>
  <si>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</si>
  <si>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</si>
  <si>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</si>
  <si>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</si>
  <si>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</si>
  <si>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</si>
  <si>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</si>
  <si>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</si>
  <si>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</si>
  <si>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</si>
  <si>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</si>
  <si>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</si>
  <si>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</si>
  <si>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</si>
  <si>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</si>
  <si>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</si>
  <si>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</si>
  <si>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</si>
  <si>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</si>
  <si>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</si>
  <si>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</si>
  <si>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</si>
  <si>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</si>
  <si>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</si>
  <si>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</si>
  <si>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</si>
  <si>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</si>
  <si>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</si>
  <si>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</si>
  <si>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</si>
  <si>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</si>
  <si>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</si>
  <si>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</si>
  <si>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</si>
  <si>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</si>
  <si>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</si>
  <si>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</si>
  <si>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</si>
  <si>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</si>
  <si>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</si>
  <si>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</si>
  <si>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</si>
  <si>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</si>
  <si>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</si>
  <si>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</si>
  <si>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</si>
  <si>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</si>
  <si>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</si>
  <si>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</si>
  <si>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</si>
  <si>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</si>
  <si>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</si>
  <si>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</si>
  <si>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</si>
  <si>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</si>
  <si>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</si>
  <si>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</si>
  <si>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</si>
  <si>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</si>
  <si>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</si>
  <si>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</si>
  <si>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</si>
  <si>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</si>
  <si>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</si>
  <si>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</si>
  <si>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</si>
  <si>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</si>
  <si>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</si>
  <si>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</si>
  <si>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</si>
  <si>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</si>
  <si>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</si>
  <si>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</si>
  <si>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</si>
  <si>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</si>
  <si>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</si>
  <si>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</si>
  <si>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</si>
  <si>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</si>
  <si>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</si>
  <si>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</si>
  <si>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</si>
  <si>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</si>
  <si>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</si>
  <si>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</si>
  <si>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</si>
  <si>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</si>
  <si>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</si>
  <si>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</si>
  <si>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</si>
  <si>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</si>
  <si>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</si>
  <si>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</si>
  <si>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</si>
  <si>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</si>
  <si>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</si>
  <si>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</si>
  <si>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</si>
  <si>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</si>
  <si>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</si>
  <si>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</si>
  <si>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</si>
  <si>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</si>
  <si>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</si>
  <si>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</si>
  <si>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</si>
  <si>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</si>
  <si>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</si>
  <si>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</si>
  <si>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</si>
  <si>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</si>
  <si>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</si>
  <si>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</si>
  <si>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</si>
  <si>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</si>
  <si>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</si>
  <si>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</si>
  <si>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</si>
  <si>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</si>
  <si>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</si>
  <si>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</si>
  <si>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</si>
  <si>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</si>
  <si>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</si>
  <si>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</si>
  <si>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</si>
  <si>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</si>
  <si>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</si>
  <si>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</si>
  <si>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</si>
  <si>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</si>
  <si>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</si>
  <si>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</si>
  <si>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</si>
  <si>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</si>
  <si>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</si>
  <si>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</si>
  <si>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</si>
  <si>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</si>
  <si>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</si>
  <si>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</si>
  <si>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</si>
  <si>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</si>
  <si>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</si>
  <si>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</si>
  <si>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</si>
  <si>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</si>
  <si>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</si>
  <si>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</si>
  <si>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</si>
  <si>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</si>
  <si>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</si>
  <si>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</si>
  <si>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</si>
  <si>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</si>
  <si>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</si>
  <si>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</si>
  <si>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</si>
  <si>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</si>
  <si>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</si>
  <si>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</si>
  <si>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</si>
  <si>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</si>
  <si>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</si>
  <si>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</si>
  <si>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</si>
  <si>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</si>
  <si>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</si>
  <si>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</si>
  <si>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</si>
  <si>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</si>
  <si>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</si>
  <si>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</si>
  <si>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</si>
  <si>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</si>
  <si>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</si>
  <si>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</si>
  <si>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</si>
  <si>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</si>
  <si>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</si>
  <si>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</si>
  <si>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</si>
  <si>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</si>
  <si>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</si>
  <si>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</si>
  <si>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</si>
  <si>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</si>
  <si>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</si>
  <si>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</si>
  <si>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</si>
  <si>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</si>
  <si>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</si>
  <si>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</si>
  <si>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</si>
  <si>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</si>
  <si>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</si>
  <si>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</si>
  <si>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After School Activities Program revenues from parents.</t>
  </si>
  <si>
    <t>it will be transferred to the trustees to be deposited into a CRF per voter approval.</t>
  </si>
  <si>
    <t xml:space="preserve">The CTE tuition revenue will not match your figure, because it includes a receivable for the FY15 CTE </t>
  </si>
  <si>
    <t xml:space="preserve">tuition surcharge (state share) which we will receive in FY16. This was also set up as a payable, because </t>
  </si>
  <si>
    <t>The difference between our numbers is the difference between last year's surcharge reimbursement</t>
  </si>
  <si>
    <t>received in November and this year's surcharge receivable.</t>
  </si>
  <si>
    <t>White Mountains Reg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</si>
</sst>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568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817085.92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158.91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461209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263407.62</v>
      </c>
      <c r="G13" s="18">
        <v>23084.7</v>
      </c>
      <c r="H13" s="18">
        <v>273381.40000000002</v>
      </c>
      <c r="I13" s="18"/>
      <c r="J13" s="67">
        <f>SUM(I442)</f>
        <v>898209.65999999992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2634.28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81805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1626300.7300000002</v>
      </c>
      <c r="G19" s="41">
        <f>SUM(G9:G18)</f>
        <v>23084.7</v>
      </c>
      <c r="H19" s="41">
        <f>SUM(H9:H18)</f>
        <v>273381.40000000002</v>
      </c>
      <c r="I19" s="41">
        <f>SUM(I9:I18)</f>
        <v>0</v>
      </c>
      <c r="J19" s="41">
        <f>SUM(J9:J18)</f>
        <v>898209.65999999992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-246867.13</v>
      </c>
      <c r="G22" s="18">
        <v>8162.19</v>
      </c>
      <c r="H22" s="18">
        <v>238704.94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90859.15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1155991.1200000001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23513.040000000001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999983.14000000013</v>
      </c>
      <c r="G32" s="41">
        <f>SUM(G22:G31)</f>
        <v>8162.19</v>
      </c>
      <c r="H32" s="41">
        <f>SUM(H22:H31)</f>
        <v>262217.98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14922.51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68915.59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11163.42</v>
      </c>
      <c r="I48" s="18"/>
      <c r="J48" s="13">
        <f>SUM(I459)</f>
        <v>898209.65999999992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557402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626317.59</v>
      </c>
      <c r="G51" s="41">
        <f>SUM(G35:G50)</f>
        <v>14922.51</v>
      </c>
      <c r="H51" s="41">
        <f>SUM(H35:H50)</f>
        <v>11163.42</v>
      </c>
      <c r="I51" s="41">
        <f>SUM(I35:I50)</f>
        <v>0</v>
      </c>
      <c r="J51" s="41">
        <f>SUM(J35:J50)</f>
        <v>898209.65999999992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1626300.73</v>
      </c>
      <c r="G52" s="41">
        <f>G51+G32</f>
        <v>23084.7</v>
      </c>
      <c r="H52" s="41">
        <f>H51+H32</f>
        <v>273381.39999999997</v>
      </c>
      <c r="I52" s="41">
        <f>I51+I32</f>
        <v>0</v>
      </c>
      <c r="J52" s="41">
        <f>J51+J32</f>
        <v>898209.65999999992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8534000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8534000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540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20538.439999999999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69130.2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371241.51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27179.58</v>
      </c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11481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500110.73000000004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4012.24</v>
      </c>
      <c r="G96" s="18"/>
      <c r="H96" s="18"/>
      <c r="I96" s="18"/>
      <c r="J96" s="18">
        <v>5258.54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164657.06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2716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3425.2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5346.55</v>
      </c>
      <c r="G110" s="18"/>
      <c r="H110" s="18">
        <v>28599.05</v>
      </c>
      <c r="I110" s="18"/>
      <c r="J110" s="18">
        <v>10340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15499.989999999998</v>
      </c>
      <c r="G111" s="41">
        <f>SUM(G96:G110)</f>
        <v>164657.06</v>
      </c>
      <c r="H111" s="41">
        <f>SUM(H96:H110)</f>
        <v>28599.05</v>
      </c>
      <c r="I111" s="41">
        <f>SUM(I96:I110)</f>
        <v>0</v>
      </c>
      <c r="J111" s="41">
        <f>SUM(J96:J110)</f>
        <v>15598.54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9049610.7200000007</v>
      </c>
      <c r="G112" s="41">
        <f>G60+G111</f>
        <v>164657.06</v>
      </c>
      <c r="H112" s="41">
        <f>H60+H79+H94+H111</f>
        <v>28599.05</v>
      </c>
      <c r="I112" s="41">
        <f>I60+I111</f>
        <v>0</v>
      </c>
      <c r="J112" s="41">
        <f>J60+J111</f>
        <v>15598.54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6801344.1399999997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2187458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8988802.1400000006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47259.46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7561.46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78212.240000000005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9996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7427.54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143029.16</v>
      </c>
      <c r="G136" s="41">
        <f>SUM(G123:G135)</f>
        <v>7427.54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9131831.3000000007</v>
      </c>
      <c r="G140" s="41">
        <f>G121+SUM(G136:G137)</f>
        <v>7427.54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384553.48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120475.76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73255.259999999995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334490.32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289644.03000000003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105311.96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37932.85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105311.96</v>
      </c>
      <c r="G162" s="41">
        <f>SUM(G150:G161)</f>
        <v>334490.32</v>
      </c>
      <c r="H162" s="41">
        <f>SUM(H150:H161)</f>
        <v>905861.38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16690.2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122002.16</v>
      </c>
      <c r="G169" s="41">
        <f>G147+G162+SUM(G163:G168)</f>
        <v>334490.32</v>
      </c>
      <c r="H169" s="41">
        <f>H147+H162+SUM(H163:H168)</f>
        <v>905861.38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8652</v>
      </c>
      <c r="H179" s="18"/>
      <c r="I179" s="18"/>
      <c r="J179" s="18">
        <v>85233.08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47813.46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47813.46</v>
      </c>
      <c r="G183" s="41">
        <f>SUM(G179:G182)</f>
        <v>8652</v>
      </c>
      <c r="H183" s="41">
        <f>SUM(H179:H182)</f>
        <v>0</v>
      </c>
      <c r="I183" s="41">
        <f>SUM(I179:I182)</f>
        <v>0</v>
      </c>
      <c r="J183" s="41">
        <f>SUM(J179:J182)</f>
        <v>85233.08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47813.46</v>
      </c>
      <c r="G192" s="41">
        <f>G183+SUM(G188:G191)</f>
        <v>8652</v>
      </c>
      <c r="H192" s="41">
        <f>+H183+SUM(H188:H191)</f>
        <v>0</v>
      </c>
      <c r="I192" s="41">
        <f>I177+I183+SUM(I188:I191)</f>
        <v>0</v>
      </c>
      <c r="J192" s="41">
        <f>J183</f>
        <v>85233.08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18351257.640000004</v>
      </c>
      <c r="G193" s="47">
        <f>G112+G140+G169+G192</f>
        <v>515226.92000000004</v>
      </c>
      <c r="H193" s="47">
        <f>H112+H140+H169+H192</f>
        <v>934460.43</v>
      </c>
      <c r="I193" s="47">
        <f>I112+I140+I169+I192</f>
        <v>0</v>
      </c>
      <c r="J193" s="47">
        <f>J112+J140+J192</f>
        <v>100831.62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2776703.26</v>
      </c>
      <c r="G197" s="18">
        <v>1475165.74</v>
      </c>
      <c r="H197" s="18">
        <v>91669.51</v>
      </c>
      <c r="I197" s="18">
        <v>148586.14000000001</v>
      </c>
      <c r="J197" s="18">
        <v>32416.16</v>
      </c>
      <c r="K197" s="18">
        <v>29570.2</v>
      </c>
      <c r="L197" s="19">
        <f>SUM(F197:K197)</f>
        <v>4554111.01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1067454.76</v>
      </c>
      <c r="G198" s="18">
        <v>525325.21</v>
      </c>
      <c r="H198" s="18">
        <v>18931.71</v>
      </c>
      <c r="I198" s="18">
        <v>8366.06</v>
      </c>
      <c r="J198" s="18">
        <v>2417.46</v>
      </c>
      <c r="K198" s="18">
        <v>288.97000000000003</v>
      </c>
      <c r="L198" s="19">
        <f>SUM(F198:K198)</f>
        <v>1622784.17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99836.3</v>
      </c>
      <c r="G200" s="18">
        <v>13248.43</v>
      </c>
      <c r="H200" s="18">
        <v>9437.7900000000009</v>
      </c>
      <c r="I200" s="18">
        <v>9032.58</v>
      </c>
      <c r="J200" s="18">
        <v>2351.5500000000002</v>
      </c>
      <c r="K200" s="18">
        <v>7388.24</v>
      </c>
      <c r="L200" s="19">
        <f>SUM(F200:K200)</f>
        <v>141294.88999999998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620688.49</v>
      </c>
      <c r="G202" s="18">
        <v>298893.49</v>
      </c>
      <c r="H202" s="18">
        <v>7494.19</v>
      </c>
      <c r="I202" s="18">
        <v>9428.76</v>
      </c>
      <c r="J202" s="18">
        <v>388.45</v>
      </c>
      <c r="K202" s="18">
        <v>350</v>
      </c>
      <c r="L202" s="19">
        <f t="shared" ref="L202:L208" si="0">SUM(F202:K202)</f>
        <v>937243.37999999989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128470.59</v>
      </c>
      <c r="G203" s="18">
        <v>88213.59</v>
      </c>
      <c r="H203" s="18">
        <v>47183.47</v>
      </c>
      <c r="I203" s="18">
        <v>21203.25</v>
      </c>
      <c r="J203" s="18">
        <v>10404.52</v>
      </c>
      <c r="K203" s="18">
        <v>978.84</v>
      </c>
      <c r="L203" s="19">
        <f t="shared" si="0"/>
        <v>296454.26000000007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354840.09</v>
      </c>
      <c r="G204" s="18">
        <v>117386.89</v>
      </c>
      <c r="H204" s="18">
        <v>113456.63</v>
      </c>
      <c r="I204" s="18">
        <v>78299.03</v>
      </c>
      <c r="J204" s="18">
        <v>1917.33</v>
      </c>
      <c r="K204" s="18">
        <v>22389.46</v>
      </c>
      <c r="L204" s="19">
        <f t="shared" si="0"/>
        <v>688289.43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540489.38</v>
      </c>
      <c r="G205" s="18">
        <v>264099.11</v>
      </c>
      <c r="H205" s="18">
        <v>46204.63</v>
      </c>
      <c r="I205" s="18">
        <v>3930.39</v>
      </c>
      <c r="J205" s="18">
        <v>2020.91</v>
      </c>
      <c r="K205" s="18">
        <v>14764.61</v>
      </c>
      <c r="L205" s="19">
        <f t="shared" si="0"/>
        <v>871509.03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93256.88</v>
      </c>
      <c r="G206" s="18">
        <v>47170.47</v>
      </c>
      <c r="H206" s="18">
        <v>3152.46</v>
      </c>
      <c r="I206" s="18">
        <v>0</v>
      </c>
      <c r="J206" s="18">
        <v>0</v>
      </c>
      <c r="K206" s="18">
        <v>100.5</v>
      </c>
      <c r="L206" s="19">
        <f t="shared" si="0"/>
        <v>143680.31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379349.15</v>
      </c>
      <c r="G207" s="18">
        <v>196371.22</v>
      </c>
      <c r="H207" s="18">
        <v>344141.04</v>
      </c>
      <c r="I207" s="18">
        <v>301068.39</v>
      </c>
      <c r="J207" s="18">
        <v>12888.94</v>
      </c>
      <c r="K207" s="18"/>
      <c r="L207" s="19">
        <f t="shared" si="0"/>
        <v>1233818.7399999998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17278.3</v>
      </c>
      <c r="G208" s="18">
        <v>8932.66</v>
      </c>
      <c r="H208" s="18">
        <v>611140.4</v>
      </c>
      <c r="I208" s="18">
        <v>2424.3000000000002</v>
      </c>
      <c r="J208" s="18"/>
      <c r="K208" s="18"/>
      <c r="L208" s="19">
        <f t="shared" si="0"/>
        <v>639775.66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>
        <v>229.95</v>
      </c>
      <c r="J209" s="18"/>
      <c r="K209" s="18"/>
      <c r="L209" s="19">
        <f>SUM(F209:K209)</f>
        <v>229.95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6078367.1999999993</v>
      </c>
      <c r="G211" s="41">
        <f t="shared" si="1"/>
        <v>3034806.8100000005</v>
      </c>
      <c r="H211" s="41">
        <f t="shared" si="1"/>
        <v>1292811.83</v>
      </c>
      <c r="I211" s="41">
        <f t="shared" si="1"/>
        <v>582568.85000000009</v>
      </c>
      <c r="J211" s="41">
        <f t="shared" si="1"/>
        <v>64805.320000000007</v>
      </c>
      <c r="K211" s="41">
        <f t="shared" si="1"/>
        <v>75830.820000000007</v>
      </c>
      <c r="L211" s="41">
        <f t="shared" si="1"/>
        <v>11129190.829999998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1338788.49</v>
      </c>
      <c r="G233" s="18">
        <v>642081.4</v>
      </c>
      <c r="H233" s="18">
        <v>38402.639999999999</v>
      </c>
      <c r="I233" s="18">
        <v>22535.87</v>
      </c>
      <c r="J233" s="18">
        <v>45412.07</v>
      </c>
      <c r="K233" s="18">
        <v>13307.71</v>
      </c>
      <c r="L233" s="19">
        <f>SUM(F233:K233)</f>
        <v>2100528.1800000002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360139.64</v>
      </c>
      <c r="G234" s="18">
        <v>194220.28</v>
      </c>
      <c r="H234" s="18">
        <v>426429.93</v>
      </c>
      <c r="I234" s="18">
        <v>1387.83</v>
      </c>
      <c r="J234" s="18">
        <v>123.99</v>
      </c>
      <c r="K234" s="18"/>
      <c r="L234" s="19">
        <f>SUM(F234:K234)</f>
        <v>982301.67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218739.88</v>
      </c>
      <c r="G235" s="18">
        <v>101405.43</v>
      </c>
      <c r="H235" s="18">
        <v>54422.15</v>
      </c>
      <c r="I235" s="18">
        <v>89920.45</v>
      </c>
      <c r="J235" s="18">
        <v>146492.59</v>
      </c>
      <c r="K235" s="18">
        <v>449</v>
      </c>
      <c r="L235" s="19">
        <f>SUM(F235:K235)</f>
        <v>611429.5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217966.42</v>
      </c>
      <c r="G236" s="18">
        <v>58978.33</v>
      </c>
      <c r="H236" s="18">
        <v>19088.77</v>
      </c>
      <c r="I236" s="18">
        <v>28845.5</v>
      </c>
      <c r="J236" s="18">
        <v>10428.68</v>
      </c>
      <c r="K236" s="18">
        <v>19689.650000000001</v>
      </c>
      <c r="L236" s="19">
        <f>SUM(F236:K236)</f>
        <v>354997.35000000003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298376.87</v>
      </c>
      <c r="G238" s="18">
        <v>147744.09</v>
      </c>
      <c r="H238" s="18">
        <v>16323.55</v>
      </c>
      <c r="I238" s="18">
        <v>3743.14</v>
      </c>
      <c r="J238" s="18"/>
      <c r="K238" s="18">
        <v>233.86</v>
      </c>
      <c r="L238" s="19">
        <f t="shared" ref="L238:L244" si="4">SUM(F238:K238)</f>
        <v>466421.50999999995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66998.36</v>
      </c>
      <c r="G239" s="18">
        <v>54007.43</v>
      </c>
      <c r="H239" s="18">
        <v>31385.01</v>
      </c>
      <c r="I239" s="18">
        <v>12742.64</v>
      </c>
      <c r="J239" s="18"/>
      <c r="K239" s="18">
        <v>5282.12</v>
      </c>
      <c r="L239" s="19">
        <f t="shared" si="4"/>
        <v>170415.56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311548.48</v>
      </c>
      <c r="G240" s="18">
        <v>112643.78</v>
      </c>
      <c r="H240" s="18">
        <v>92399.28</v>
      </c>
      <c r="I240" s="18">
        <v>38565.199999999997</v>
      </c>
      <c r="J240" s="18">
        <v>6119.35</v>
      </c>
      <c r="K240" s="18">
        <v>12003.94</v>
      </c>
      <c r="L240" s="19">
        <f t="shared" si="4"/>
        <v>573280.02999999991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219362.11</v>
      </c>
      <c r="G241" s="18">
        <v>120966.96</v>
      </c>
      <c r="H241" s="18">
        <v>38201.14</v>
      </c>
      <c r="I241" s="18">
        <v>8290.42</v>
      </c>
      <c r="J241" s="18">
        <v>56693.55</v>
      </c>
      <c r="K241" s="18">
        <v>20704.849999999999</v>
      </c>
      <c r="L241" s="19">
        <f t="shared" si="4"/>
        <v>464219.02999999997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45932.49</v>
      </c>
      <c r="G242" s="18">
        <v>23233.22</v>
      </c>
      <c r="H242" s="18">
        <v>1552.7</v>
      </c>
      <c r="I242" s="18">
        <v>0</v>
      </c>
      <c r="J242" s="18"/>
      <c r="K242" s="18">
        <v>49.5</v>
      </c>
      <c r="L242" s="19">
        <f t="shared" si="4"/>
        <v>70767.909999999989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239370.71</v>
      </c>
      <c r="G243" s="18">
        <v>93807.7</v>
      </c>
      <c r="H243" s="18">
        <v>600761.24</v>
      </c>
      <c r="I243" s="18">
        <v>256579.07</v>
      </c>
      <c r="J243" s="18">
        <v>5072.3500000000004</v>
      </c>
      <c r="K243" s="18"/>
      <c r="L243" s="19">
        <f t="shared" si="4"/>
        <v>1195591.07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8284.7999999999993</v>
      </c>
      <c r="G244" s="18">
        <v>4389.09</v>
      </c>
      <c r="H244" s="18">
        <v>416891.79</v>
      </c>
      <c r="I244" s="18">
        <v>1186.82</v>
      </c>
      <c r="J244" s="18"/>
      <c r="K244" s="18"/>
      <c r="L244" s="19">
        <f t="shared" si="4"/>
        <v>430752.5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3325508.2499999995</v>
      </c>
      <c r="G247" s="41">
        <f t="shared" si="5"/>
        <v>1553477.71</v>
      </c>
      <c r="H247" s="41">
        <f t="shared" si="5"/>
        <v>1735858.2000000002</v>
      </c>
      <c r="I247" s="41">
        <f t="shared" si="5"/>
        <v>463796.94</v>
      </c>
      <c r="J247" s="41">
        <f t="shared" si="5"/>
        <v>270342.57999999996</v>
      </c>
      <c r="K247" s="41">
        <f t="shared" si="5"/>
        <v>71720.63</v>
      </c>
      <c r="L247" s="41">
        <f t="shared" si="5"/>
        <v>7420704.3100000005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240</v>
      </c>
      <c r="G251" s="18">
        <v>18.36</v>
      </c>
      <c r="H251" s="18"/>
      <c r="I251" s="18"/>
      <c r="J251" s="18"/>
      <c r="K251" s="18"/>
      <c r="L251" s="19">
        <f t="shared" si="6"/>
        <v>258.36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33575.97</v>
      </c>
      <c r="I255" s="18"/>
      <c r="J255" s="18"/>
      <c r="K255" s="18"/>
      <c r="L255" s="19">
        <f t="shared" si="6"/>
        <v>33575.97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240</v>
      </c>
      <c r="G256" s="41">
        <f t="shared" si="7"/>
        <v>18.36</v>
      </c>
      <c r="H256" s="41">
        <f t="shared" si="7"/>
        <v>33575.97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33834.33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9404115.4499999993</v>
      </c>
      <c r="G257" s="41">
        <f t="shared" si="8"/>
        <v>4588302.8800000008</v>
      </c>
      <c r="H257" s="41">
        <f t="shared" si="8"/>
        <v>3062246.0000000005</v>
      </c>
      <c r="I257" s="41">
        <f t="shared" si="8"/>
        <v>1046365.79</v>
      </c>
      <c r="J257" s="41">
        <f t="shared" si="8"/>
        <v>335147.89999999997</v>
      </c>
      <c r="K257" s="41">
        <f t="shared" si="8"/>
        <v>147551.45000000001</v>
      </c>
      <c r="L257" s="41">
        <f t="shared" si="8"/>
        <v>18583729.469999999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8652</v>
      </c>
      <c r="L263" s="19">
        <f>SUM(F263:K263)</f>
        <v>8652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85233.08</v>
      </c>
      <c r="L266" s="19">
        <f>SUM(F266:K266)</f>
        <v>85233.08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53836</v>
      </c>
      <c r="L268" s="19">
        <f t="shared" si="9"/>
        <v>53836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147721.08000000002</v>
      </c>
      <c r="L270" s="41">
        <f t="shared" si="9"/>
        <v>147721.08000000002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9404115.4499999993</v>
      </c>
      <c r="G271" s="42">
        <f t="shared" si="11"/>
        <v>4588302.8800000008</v>
      </c>
      <c r="H271" s="42">
        <f t="shared" si="11"/>
        <v>3062246.0000000005</v>
      </c>
      <c r="I271" s="42">
        <f t="shared" si="11"/>
        <v>1046365.79</v>
      </c>
      <c r="J271" s="42">
        <f t="shared" si="11"/>
        <v>335147.89999999997</v>
      </c>
      <c r="K271" s="42">
        <f t="shared" si="11"/>
        <v>295272.53000000003</v>
      </c>
      <c r="L271" s="42">
        <f t="shared" si="11"/>
        <v>18731450.549999997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181218.22</v>
      </c>
      <c r="G276" s="18">
        <v>83007.509999999995</v>
      </c>
      <c r="H276" s="18"/>
      <c r="I276" s="18">
        <v>33543.089999999997</v>
      </c>
      <c r="J276" s="18"/>
      <c r="K276" s="18">
        <v>2475</v>
      </c>
      <c r="L276" s="19">
        <f>SUM(F276:K276)</f>
        <v>300243.81999999995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13800.97</v>
      </c>
      <c r="I277" s="18">
        <v>36494.49</v>
      </c>
      <c r="J277" s="18">
        <v>3144.3</v>
      </c>
      <c r="K277" s="18"/>
      <c r="L277" s="19">
        <f>SUM(F277:K277)</f>
        <v>53439.76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>
        <v>791.39</v>
      </c>
      <c r="J279" s="18"/>
      <c r="K279" s="18">
        <v>280</v>
      </c>
      <c r="L279" s="19">
        <f>SUM(F279:K279)</f>
        <v>1071.3899999999999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81872.36</v>
      </c>
      <c r="G281" s="18">
        <v>35581</v>
      </c>
      <c r="H281" s="18">
        <v>74497.09</v>
      </c>
      <c r="I281" s="18">
        <v>1960.05</v>
      </c>
      <c r="J281" s="18"/>
      <c r="K281" s="18">
        <v>95</v>
      </c>
      <c r="L281" s="19">
        <f t="shared" ref="L281:L287" si="12">SUM(F281:K281)</f>
        <v>194005.5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v>80949.759999999995</v>
      </c>
      <c r="I282" s="18">
        <v>275</v>
      </c>
      <c r="J282" s="18"/>
      <c r="K282" s="18">
        <v>2206.98</v>
      </c>
      <c r="L282" s="19">
        <f t="shared" si="12"/>
        <v>83431.739999999991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38037.81</v>
      </c>
      <c r="G283" s="18">
        <v>17299.22</v>
      </c>
      <c r="H283" s="18"/>
      <c r="I283" s="18"/>
      <c r="J283" s="18"/>
      <c r="K283" s="18"/>
      <c r="L283" s="19">
        <f t="shared" si="12"/>
        <v>55337.03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1106.25</v>
      </c>
      <c r="G288" s="18">
        <v>84.64</v>
      </c>
      <c r="H288" s="18">
        <v>601.29</v>
      </c>
      <c r="I288" s="18">
        <v>1304.2</v>
      </c>
      <c r="J288" s="18"/>
      <c r="K288" s="18">
        <v>80</v>
      </c>
      <c r="L288" s="19">
        <f>SUM(F288:K288)</f>
        <v>3176.38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302234.64</v>
      </c>
      <c r="G290" s="42">
        <f t="shared" si="13"/>
        <v>135972.37</v>
      </c>
      <c r="H290" s="42">
        <f t="shared" si="13"/>
        <v>169849.11000000002</v>
      </c>
      <c r="I290" s="42">
        <f t="shared" si="13"/>
        <v>74368.219999999987</v>
      </c>
      <c r="J290" s="42">
        <f t="shared" si="13"/>
        <v>3144.3</v>
      </c>
      <c r="K290" s="42">
        <f t="shared" si="13"/>
        <v>5136.9799999999996</v>
      </c>
      <c r="L290" s="41">
        <f t="shared" si="13"/>
        <v>690705.62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5640</v>
      </c>
      <c r="G314" s="18">
        <v>2971</v>
      </c>
      <c r="H314" s="18"/>
      <c r="I314" s="18">
        <v>31.71</v>
      </c>
      <c r="J314" s="18">
        <v>234.36</v>
      </c>
      <c r="K314" s="18"/>
      <c r="L314" s="19">
        <f>SUM(F314:K314)</f>
        <v>8877.07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v>1410.9</v>
      </c>
      <c r="I315" s="18">
        <v>4049.08</v>
      </c>
      <c r="J315" s="18"/>
      <c r="K315" s="18"/>
      <c r="L315" s="19">
        <f>SUM(F315:K315)</f>
        <v>5459.98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416.65</v>
      </c>
      <c r="I316" s="18">
        <v>30086.71</v>
      </c>
      <c r="J316" s="18">
        <v>50412.98</v>
      </c>
      <c r="K316" s="18">
        <v>1319</v>
      </c>
      <c r="L316" s="19">
        <f>SUM(F316:K316)</f>
        <v>82235.34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550</v>
      </c>
      <c r="G317" s="18">
        <v>94.77</v>
      </c>
      <c r="H317" s="18"/>
      <c r="I317" s="18">
        <v>1787.95</v>
      </c>
      <c r="J317" s="18"/>
      <c r="K317" s="18">
        <v>750</v>
      </c>
      <c r="L317" s="19">
        <f>SUM(F317:K317)</f>
        <v>3182.7200000000003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37692.400000000001</v>
      </c>
      <c r="G319" s="18">
        <v>15802.08</v>
      </c>
      <c r="H319" s="18">
        <v>15289.01</v>
      </c>
      <c r="I319" s="18">
        <v>1638.39</v>
      </c>
      <c r="J319" s="18"/>
      <c r="K319" s="18">
        <v>4775</v>
      </c>
      <c r="L319" s="19">
        <f t="shared" ref="L319:L325" si="16">SUM(F319:K319)</f>
        <v>75196.88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>
        <v>24946.03</v>
      </c>
      <c r="I320" s="18">
        <v>350</v>
      </c>
      <c r="J320" s="18"/>
      <c r="K320" s="18">
        <v>2731.43</v>
      </c>
      <c r="L320" s="19">
        <f t="shared" si="16"/>
        <v>28027.46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>
        <v>38.33</v>
      </c>
      <c r="H321" s="18"/>
      <c r="I321" s="18"/>
      <c r="J321" s="18"/>
      <c r="K321" s="18"/>
      <c r="L321" s="19">
        <f t="shared" si="16"/>
        <v>38.33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>
        <v>539.4</v>
      </c>
      <c r="I323" s="18"/>
      <c r="J323" s="18"/>
      <c r="K323" s="18"/>
      <c r="L323" s="19">
        <f t="shared" si="16"/>
        <v>539.4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119.27</v>
      </c>
      <c r="I324" s="18"/>
      <c r="J324" s="18"/>
      <c r="K324" s="18"/>
      <c r="L324" s="19">
        <f t="shared" si="16"/>
        <v>119.27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1437.34</v>
      </c>
      <c r="I325" s="18"/>
      <c r="J325" s="18"/>
      <c r="K325" s="18"/>
      <c r="L325" s="19">
        <f t="shared" si="16"/>
        <v>1437.34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43882.400000000001</v>
      </c>
      <c r="G328" s="42">
        <f t="shared" si="17"/>
        <v>18906.18</v>
      </c>
      <c r="H328" s="42">
        <f t="shared" si="17"/>
        <v>44158.599999999991</v>
      </c>
      <c r="I328" s="42">
        <f t="shared" si="17"/>
        <v>37943.839999999997</v>
      </c>
      <c r="J328" s="42">
        <f t="shared" si="17"/>
        <v>50647.340000000004</v>
      </c>
      <c r="K328" s="42">
        <f t="shared" si="17"/>
        <v>9575.43</v>
      </c>
      <c r="L328" s="41">
        <f t="shared" si="17"/>
        <v>205113.78999999995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346117.04000000004</v>
      </c>
      <c r="G338" s="41">
        <f t="shared" si="20"/>
        <v>154878.54999999999</v>
      </c>
      <c r="H338" s="41">
        <f t="shared" si="20"/>
        <v>214007.71000000002</v>
      </c>
      <c r="I338" s="41">
        <f t="shared" si="20"/>
        <v>112312.05999999998</v>
      </c>
      <c r="J338" s="41">
        <f t="shared" si="20"/>
        <v>53791.640000000007</v>
      </c>
      <c r="K338" s="41">
        <f t="shared" si="20"/>
        <v>14712.41</v>
      </c>
      <c r="L338" s="41">
        <f t="shared" si="20"/>
        <v>895819.40999999992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47813.46</v>
      </c>
      <c r="L344" s="19">
        <f t="shared" ref="L344:L350" si="21">SUM(F344:K344)</f>
        <v>47813.46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47813.46</v>
      </c>
      <c r="L351" s="41">
        <f>SUM(L341:L350)</f>
        <v>47813.46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346117.04000000004</v>
      </c>
      <c r="G352" s="41">
        <f>G338</f>
        <v>154878.54999999999</v>
      </c>
      <c r="H352" s="41">
        <f>H338</f>
        <v>214007.71000000002</v>
      </c>
      <c r="I352" s="41">
        <f>I338</f>
        <v>112312.05999999998</v>
      </c>
      <c r="J352" s="41">
        <f>J338</f>
        <v>53791.640000000007</v>
      </c>
      <c r="K352" s="47">
        <f>K338+K351</f>
        <v>62525.869999999995</v>
      </c>
      <c r="L352" s="41">
        <f>L338+L351</f>
        <v>943632.86999999988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136537.12</v>
      </c>
      <c r="G358" s="18">
        <v>69200.289999999994</v>
      </c>
      <c r="H358" s="18">
        <v>940.87</v>
      </c>
      <c r="I358" s="18">
        <v>160239.47</v>
      </c>
      <c r="J358" s="18">
        <v>924.09</v>
      </c>
      <c r="K358" s="18">
        <v>2676.35</v>
      </c>
      <c r="L358" s="13">
        <f>SUM(F358:K358)</f>
        <v>370518.19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60287.07</v>
      </c>
      <c r="G360" s="18">
        <v>34100.120000000003</v>
      </c>
      <c r="H360" s="18">
        <v>529.27</v>
      </c>
      <c r="I360" s="18">
        <v>86365.06</v>
      </c>
      <c r="J360" s="18">
        <v>1477.74</v>
      </c>
      <c r="K360" s="18">
        <v>892.12</v>
      </c>
      <c r="L360" s="19">
        <f>SUM(F360:K360)</f>
        <v>183651.38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196824.19</v>
      </c>
      <c r="G362" s="47">
        <f t="shared" si="22"/>
        <v>103300.41</v>
      </c>
      <c r="H362" s="47">
        <f t="shared" si="22"/>
        <v>1470.1399999999999</v>
      </c>
      <c r="I362" s="47">
        <f t="shared" si="22"/>
        <v>246604.53</v>
      </c>
      <c r="J362" s="47">
        <f t="shared" si="22"/>
        <v>2401.83</v>
      </c>
      <c r="K362" s="47">
        <f t="shared" si="22"/>
        <v>3568.47</v>
      </c>
      <c r="L362" s="47">
        <f t="shared" si="22"/>
        <v>554169.57000000007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148755.29999999999</v>
      </c>
      <c r="G367" s="18"/>
      <c r="H367" s="18">
        <v>80804.97</v>
      </c>
      <c r="I367" s="56">
        <f>SUM(F367:H367)</f>
        <v>229560.27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11484.17</v>
      </c>
      <c r="G368" s="63"/>
      <c r="H368" s="63">
        <v>5560.09</v>
      </c>
      <c r="I368" s="56">
        <f>SUM(F368:H368)</f>
        <v>17044.260000000002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160239.47</v>
      </c>
      <c r="G369" s="47">
        <f>SUM(G367:G368)</f>
        <v>0</v>
      </c>
      <c r="H369" s="47">
        <f>SUM(H367:H368)</f>
        <v>86365.06</v>
      </c>
      <c r="I369" s="47">
        <f>SUM(I367:I368)</f>
        <v>246604.53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 t="s">
        <v>287</v>
      </c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 t="s">
        <v>287</v>
      </c>
      <c r="G392" s="18">
        <v>35233.08</v>
      </c>
      <c r="H392" s="18">
        <v>109.49</v>
      </c>
      <c r="I392" s="18"/>
      <c r="J392" s="24" t="s">
        <v>289</v>
      </c>
      <c r="K392" s="24" t="s">
        <v>289</v>
      </c>
      <c r="L392" s="56">
        <f t="shared" si="25"/>
        <v>35342.57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35233.08</v>
      </c>
      <c r="H393" s="139">
        <f>SUM(H387:H392)</f>
        <v>109.49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35342.57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 t="s">
        <v>287</v>
      </c>
      <c r="G396" s="18">
        <v>50000</v>
      </c>
      <c r="H396" s="18">
        <v>359.83</v>
      </c>
      <c r="I396" s="18"/>
      <c r="J396" s="24" t="s">
        <v>289</v>
      </c>
      <c r="K396" s="24" t="s">
        <v>289</v>
      </c>
      <c r="L396" s="56">
        <f t="shared" si="26"/>
        <v>50359.83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 t="s">
        <v>287</v>
      </c>
      <c r="G400" s="18"/>
      <c r="H400" s="18">
        <v>4789.22</v>
      </c>
      <c r="I400" s="18">
        <v>10340</v>
      </c>
      <c r="J400" s="24" t="s">
        <v>289</v>
      </c>
      <c r="K400" s="24" t="s">
        <v>289</v>
      </c>
      <c r="L400" s="56">
        <f t="shared" si="26"/>
        <v>15129.220000000001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5149.05</v>
      </c>
      <c r="I401" s="47">
        <f>SUM(I395:I400)</f>
        <v>10340</v>
      </c>
      <c r="J401" s="45" t="s">
        <v>289</v>
      </c>
      <c r="K401" s="45" t="s">
        <v>289</v>
      </c>
      <c r="L401" s="47">
        <f>SUM(L395:L400)</f>
        <v>65489.05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85233.08</v>
      </c>
      <c r="H408" s="47">
        <f>H393+H401+H407</f>
        <v>5258.54</v>
      </c>
      <c r="I408" s="47">
        <f>I393+I401+I407</f>
        <v>10340</v>
      </c>
      <c r="J408" s="24" t="s">
        <v>289</v>
      </c>
      <c r="K408" s="24" t="s">
        <v>289</v>
      </c>
      <c r="L408" s="47">
        <f>L393+L401+L407</f>
        <v>100831.62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30504.5</v>
      </c>
      <c r="I418" s="18"/>
      <c r="J418" s="18"/>
      <c r="K418" s="18"/>
      <c r="L418" s="56">
        <f t="shared" si="27"/>
        <v>30504.5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30504.5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30504.5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>
        <v>11950</v>
      </c>
      <c r="I426" s="18"/>
      <c r="J426" s="18"/>
      <c r="K426" s="18"/>
      <c r="L426" s="56">
        <f t="shared" si="29"/>
        <v>11950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11950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11950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42454.5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42454.5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277706.08</v>
      </c>
      <c r="G442" s="18">
        <v>620503.57999999996</v>
      </c>
      <c r="H442" s="18"/>
      <c r="I442" s="56">
        <f t="shared" si="33"/>
        <v>898209.65999999992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277706.08</v>
      </c>
      <c r="G446" s="13">
        <f>SUM(G439:G445)</f>
        <v>620503.57999999996</v>
      </c>
      <c r="H446" s="13">
        <f>SUM(H439:H445)</f>
        <v>0</v>
      </c>
      <c r="I446" s="13">
        <f>SUM(I439:I445)</f>
        <v>898209.65999999992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277706.08</v>
      </c>
      <c r="G459" s="18">
        <v>620503.57999999996</v>
      </c>
      <c r="H459" s="18"/>
      <c r="I459" s="56">
        <f t="shared" si="34"/>
        <v>898209.65999999992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277706.08</v>
      </c>
      <c r="G460" s="83">
        <f>SUM(G454:G459)</f>
        <v>620503.57999999996</v>
      </c>
      <c r="H460" s="83">
        <f>SUM(H454:H459)</f>
        <v>0</v>
      </c>
      <c r="I460" s="83">
        <f>SUM(I454:I459)</f>
        <v>898209.65999999992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277706.08</v>
      </c>
      <c r="G461" s="42">
        <f>G452+G460</f>
        <v>620503.57999999996</v>
      </c>
      <c r="H461" s="42">
        <f>H452+H460</f>
        <v>0</v>
      </c>
      <c r="I461" s="42">
        <f>I452+I460</f>
        <v>898209.65999999992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1006510.5</v>
      </c>
      <c r="G465" s="18">
        <v>53865.16</v>
      </c>
      <c r="H465" s="18">
        <v>10325.5</v>
      </c>
      <c r="I465" s="18">
        <v>0</v>
      </c>
      <c r="J465" s="18">
        <v>839832.54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SUM(F193)</f>
        <v>18351257.640000004</v>
      </c>
      <c r="G468" s="18">
        <f>SUM(G193)</f>
        <v>515226.92000000004</v>
      </c>
      <c r="H468" s="18">
        <f>SUM(H193)</f>
        <v>934460.43</v>
      </c>
      <c r="I468" s="18">
        <v>0</v>
      </c>
      <c r="J468" s="18">
        <f>SUM(J193)</f>
        <v>100831.62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10010.36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18351257.640000004</v>
      </c>
      <c r="G470" s="53">
        <f>SUM(G468:G469)</f>
        <v>515226.92000000004</v>
      </c>
      <c r="H470" s="53">
        <f>SUM(H468:H469)</f>
        <v>944470.79</v>
      </c>
      <c r="I470" s="53">
        <f>SUM(I468:I469)</f>
        <v>0</v>
      </c>
      <c r="J470" s="53">
        <f>SUM(J468:J469)</f>
        <v>100831.62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SUM(L271)</f>
        <v>18731450.549999997</v>
      </c>
      <c r="G472" s="18">
        <f>SUM(L362)</f>
        <v>554169.57000000007</v>
      </c>
      <c r="H472" s="18">
        <v>943632.87</v>
      </c>
      <c r="I472" s="18">
        <v>0</v>
      </c>
      <c r="J472" s="18">
        <f>SUM(L434)</f>
        <v>42454.5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18731450.549999997</v>
      </c>
      <c r="G474" s="53">
        <f>SUM(G472:G473)</f>
        <v>554169.57000000007</v>
      </c>
      <c r="H474" s="53">
        <f>SUM(H472:H473)</f>
        <v>943632.87</v>
      </c>
      <c r="I474" s="53">
        <f>SUM(I472:I473)</f>
        <v>0</v>
      </c>
      <c r="J474" s="53">
        <f>SUM(J472:J473)</f>
        <v>42454.5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626317.5900000073</v>
      </c>
      <c r="G476" s="53">
        <f>(G465+G470)- G474</f>
        <v>14922.510000000009</v>
      </c>
      <c r="H476" s="53">
        <f>(H465+H470)- H474</f>
        <v>11163.420000000042</v>
      </c>
      <c r="I476" s="53">
        <f>(I465+I470)- I474</f>
        <v>0</v>
      </c>
      <c r="J476" s="53">
        <f>(J465+J470)- J474</f>
        <v>898209.66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1077776.1299999999</v>
      </c>
      <c r="G521" s="18">
        <v>530711.92000000004</v>
      </c>
      <c r="H521" s="18">
        <v>27563.96</v>
      </c>
      <c r="I521" s="18">
        <v>15314.71</v>
      </c>
      <c r="J521" s="18">
        <v>980.21</v>
      </c>
      <c r="K521" s="18">
        <v>643.01</v>
      </c>
      <c r="L521" s="88">
        <f>SUM(F521:K521)</f>
        <v>1652989.9399999997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360139.64</v>
      </c>
      <c r="G523" s="18">
        <v>194220.26</v>
      </c>
      <c r="H523" s="18">
        <v>419109.58</v>
      </c>
      <c r="I523" s="18">
        <v>2558.0500000000002</v>
      </c>
      <c r="J523" s="18">
        <v>123.99</v>
      </c>
      <c r="K523" s="18">
        <v>0</v>
      </c>
      <c r="L523" s="88">
        <f>SUM(F523:K523)</f>
        <v>976151.52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1437915.77</v>
      </c>
      <c r="G524" s="108">
        <f t="shared" ref="G524:L524" si="36">SUM(G521:G523)</f>
        <v>724932.18</v>
      </c>
      <c r="H524" s="108">
        <f t="shared" si="36"/>
        <v>446673.54000000004</v>
      </c>
      <c r="I524" s="108">
        <f t="shared" si="36"/>
        <v>17872.759999999998</v>
      </c>
      <c r="J524" s="108">
        <f t="shared" si="36"/>
        <v>1104.2</v>
      </c>
      <c r="K524" s="108">
        <f t="shared" si="36"/>
        <v>643.01</v>
      </c>
      <c r="L524" s="89">
        <f t="shared" si="36"/>
        <v>2629141.46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299879.96000000002</v>
      </c>
      <c r="G526" s="18">
        <v>148924.43</v>
      </c>
      <c r="H526" s="18">
        <v>26305.95</v>
      </c>
      <c r="I526" s="18">
        <v>35125.660000000003</v>
      </c>
      <c r="J526" s="18">
        <v>3276.75</v>
      </c>
      <c r="K526" s="18">
        <v>0</v>
      </c>
      <c r="L526" s="88">
        <f>SUM(F526:K526)</f>
        <v>513512.75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62117.52</v>
      </c>
      <c r="G528" s="18">
        <v>28189.84</v>
      </c>
      <c r="H528" s="18">
        <v>6855.6</v>
      </c>
      <c r="I528" s="18">
        <v>4164.92</v>
      </c>
      <c r="J528" s="18">
        <v>0</v>
      </c>
      <c r="K528" s="18">
        <v>0</v>
      </c>
      <c r="L528" s="88">
        <f>SUM(F528:K528)</f>
        <v>101327.88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361997.48000000004</v>
      </c>
      <c r="G529" s="89">
        <f t="shared" ref="G529:L529" si="37">SUM(G526:G528)</f>
        <v>177114.27</v>
      </c>
      <c r="H529" s="89">
        <f t="shared" si="37"/>
        <v>33161.550000000003</v>
      </c>
      <c r="I529" s="89">
        <f t="shared" si="37"/>
        <v>39290.58</v>
      </c>
      <c r="J529" s="89">
        <f t="shared" si="37"/>
        <v>3276.75</v>
      </c>
      <c r="K529" s="89">
        <f t="shared" si="37"/>
        <v>0</v>
      </c>
      <c r="L529" s="89">
        <f t="shared" si="37"/>
        <v>614840.63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193868.67</v>
      </c>
      <c r="G531" s="18">
        <v>80096.929999999993</v>
      </c>
      <c r="H531" s="18">
        <v>4180.22</v>
      </c>
      <c r="I531" s="18">
        <v>716.6</v>
      </c>
      <c r="J531" s="18">
        <v>43.95</v>
      </c>
      <c r="K531" s="18">
        <v>7455.4</v>
      </c>
      <c r="L531" s="88">
        <f>SUM(F531:K531)</f>
        <v>286361.76999999996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67321.56</v>
      </c>
      <c r="G533" s="18">
        <v>25813.279999999999</v>
      </c>
      <c r="H533" s="18">
        <v>1227.83</v>
      </c>
      <c r="I533" s="18">
        <v>174.9</v>
      </c>
      <c r="J533" s="18">
        <v>21.64</v>
      </c>
      <c r="K533" s="18">
        <v>3569.12</v>
      </c>
      <c r="L533" s="88">
        <f>SUM(F533:K533)</f>
        <v>98128.329999999987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261190.23</v>
      </c>
      <c r="G534" s="89">
        <f t="shared" ref="G534:L534" si="38">SUM(G531:G533)</f>
        <v>105910.20999999999</v>
      </c>
      <c r="H534" s="89">
        <f t="shared" si="38"/>
        <v>5408.05</v>
      </c>
      <c r="I534" s="89">
        <f t="shared" si="38"/>
        <v>891.5</v>
      </c>
      <c r="J534" s="89">
        <f t="shared" si="38"/>
        <v>65.59</v>
      </c>
      <c r="K534" s="89">
        <f t="shared" si="38"/>
        <v>11024.52</v>
      </c>
      <c r="L534" s="89">
        <f t="shared" si="38"/>
        <v>384490.1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16695.169999999998</v>
      </c>
      <c r="G541" s="18">
        <v>8888.07</v>
      </c>
      <c r="H541" s="18">
        <v>81493.89</v>
      </c>
      <c r="I541" s="18">
        <v>2375.08</v>
      </c>
      <c r="J541" s="18"/>
      <c r="K541" s="18"/>
      <c r="L541" s="88">
        <f>SUM(F541:K541)</f>
        <v>109452.21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8222.99</v>
      </c>
      <c r="G543" s="18">
        <v>4377.7</v>
      </c>
      <c r="H543" s="18">
        <v>40138.79</v>
      </c>
      <c r="I543" s="18">
        <v>1169.81</v>
      </c>
      <c r="J543" s="18"/>
      <c r="K543" s="18"/>
      <c r="L543" s="88">
        <f>SUM(F543:K543)</f>
        <v>53909.289999999994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24918.159999999996</v>
      </c>
      <c r="G544" s="193">
        <f t="shared" ref="G544:L544" si="40">SUM(G541:G543)</f>
        <v>13265.77</v>
      </c>
      <c r="H544" s="193">
        <f t="shared" si="40"/>
        <v>121632.68</v>
      </c>
      <c r="I544" s="193">
        <f t="shared" si="40"/>
        <v>3544.89</v>
      </c>
      <c r="J544" s="193">
        <f t="shared" si="40"/>
        <v>0</v>
      </c>
      <c r="K544" s="193">
        <f t="shared" si="40"/>
        <v>0</v>
      </c>
      <c r="L544" s="193">
        <f t="shared" si="40"/>
        <v>163361.5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2086021.64</v>
      </c>
      <c r="G545" s="89">
        <f t="shared" ref="G545:L545" si="41">G524+G529+G534+G539+G544</f>
        <v>1021222.43</v>
      </c>
      <c r="H545" s="89">
        <f t="shared" si="41"/>
        <v>606875.82000000007</v>
      </c>
      <c r="I545" s="89">
        <f t="shared" si="41"/>
        <v>61599.729999999996</v>
      </c>
      <c r="J545" s="89">
        <f t="shared" si="41"/>
        <v>4446.54</v>
      </c>
      <c r="K545" s="89">
        <f t="shared" si="41"/>
        <v>11667.53</v>
      </c>
      <c r="L545" s="89">
        <f t="shared" si="41"/>
        <v>3791833.69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1652989.9399999997</v>
      </c>
      <c r="G549" s="87">
        <f>L526</f>
        <v>513512.75</v>
      </c>
      <c r="H549" s="87">
        <f>L531</f>
        <v>286361.76999999996</v>
      </c>
      <c r="I549" s="87">
        <f>L536</f>
        <v>0</v>
      </c>
      <c r="J549" s="87">
        <f>L541</f>
        <v>109452.21</v>
      </c>
      <c r="K549" s="87">
        <f>SUM(F549:J549)</f>
        <v>2562316.6699999995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976151.52</v>
      </c>
      <c r="G551" s="87">
        <f>L528</f>
        <v>101327.88</v>
      </c>
      <c r="H551" s="87">
        <f>L533</f>
        <v>98128.329999999987</v>
      </c>
      <c r="I551" s="87">
        <f>L538</f>
        <v>0</v>
      </c>
      <c r="J551" s="87">
        <f>L543</f>
        <v>53909.289999999994</v>
      </c>
      <c r="K551" s="87">
        <f>SUM(F551:J551)</f>
        <v>1229517.02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2629141.46</v>
      </c>
      <c r="G552" s="89">
        <f t="shared" si="42"/>
        <v>614840.63</v>
      </c>
      <c r="H552" s="89">
        <f t="shared" si="42"/>
        <v>384490.1</v>
      </c>
      <c r="I552" s="89">
        <f t="shared" si="42"/>
        <v>0</v>
      </c>
      <c r="J552" s="89">
        <f t="shared" si="42"/>
        <v>163361.5</v>
      </c>
      <c r="K552" s="89">
        <f t="shared" si="42"/>
        <v>3791833.6899999995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40453</v>
      </c>
      <c r="G562" s="18">
        <v>16304.16</v>
      </c>
      <c r="H562" s="18">
        <v>1193.7629999999999</v>
      </c>
      <c r="I562" s="18"/>
      <c r="J562" s="18"/>
      <c r="K562" s="18"/>
      <c r="L562" s="88">
        <f>SUM(F562:K562)</f>
        <v>57950.923000000003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40453</v>
      </c>
      <c r="G565" s="89">
        <f t="shared" si="44"/>
        <v>16304.16</v>
      </c>
      <c r="H565" s="89">
        <f t="shared" si="44"/>
        <v>1193.7629999999999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57950.923000000003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40453</v>
      </c>
      <c r="G571" s="89">
        <f t="shared" ref="G571:L571" si="46">G560+G565+G570</f>
        <v>16304.16</v>
      </c>
      <c r="H571" s="89">
        <f t="shared" si="46"/>
        <v>1193.7629999999999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57950.923000000003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4"/>
      <c r="G575" s="18"/>
      <c r="H575" s="18" t="s">
        <v>287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14695.93</v>
      </c>
      <c r="G579" s="18"/>
      <c r="H579" s="18">
        <v>10277.86</v>
      </c>
      <c r="I579" s="87">
        <f>SUM(F579:H579)</f>
        <v>24973.79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336405.7</v>
      </c>
      <c r="I582" s="87">
        <f t="shared" si="47"/>
        <v>336405.7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78520.429999999993</v>
      </c>
      <c r="I583" s="87">
        <f t="shared" si="47"/>
        <v>78520.429999999993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34536.800000000003</v>
      </c>
      <c r="I584" s="87">
        <f t="shared" si="47"/>
        <v>34536.800000000003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499411.03</v>
      </c>
      <c r="I591" s="18"/>
      <c r="J591" s="18">
        <v>253592.26</v>
      </c>
      <c r="K591" s="104">
        <f t="shared" ref="K591:K597" si="48">SUM(H591:J591)</f>
        <v>753003.29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107072.5</v>
      </c>
      <c r="I592" s="18"/>
      <c r="J592" s="18">
        <v>52737.19</v>
      </c>
      <c r="K592" s="104">
        <f t="shared" si="48"/>
        <v>159809.69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20864.580000000002</v>
      </c>
      <c r="K593" s="104">
        <f t="shared" si="48"/>
        <v>20864.580000000002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20851.39</v>
      </c>
      <c r="I594" s="18"/>
      <c r="J594" s="18">
        <v>94201.3</v>
      </c>
      <c r="K594" s="104">
        <f t="shared" si="48"/>
        <v>115052.69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10061.030000000001</v>
      </c>
      <c r="I595" s="18"/>
      <c r="J595" s="18">
        <v>8185.07</v>
      </c>
      <c r="K595" s="104">
        <f t="shared" si="48"/>
        <v>18246.099999999999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2379.71</v>
      </c>
      <c r="I597" s="18"/>
      <c r="J597" s="18">
        <v>1172.0999999999999</v>
      </c>
      <c r="K597" s="104">
        <f t="shared" si="48"/>
        <v>3551.81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639775.66</v>
      </c>
      <c r="I598" s="108">
        <f>SUM(I591:I597)</f>
        <v>0</v>
      </c>
      <c r="J598" s="108">
        <f>SUM(J591:J597)</f>
        <v>430752.5</v>
      </c>
      <c r="K598" s="108">
        <f>SUM(K591:K597)</f>
        <v>1070528.1600000001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67949.62</v>
      </c>
      <c r="I604" s="18"/>
      <c r="J604" s="18">
        <v>320989.92</v>
      </c>
      <c r="K604" s="104">
        <f>SUM(H604:J604)</f>
        <v>388939.54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67949.62</v>
      </c>
      <c r="I605" s="108">
        <f>SUM(I602:I604)</f>
        <v>0</v>
      </c>
      <c r="J605" s="108">
        <f>SUM(J602:J604)</f>
        <v>320989.92</v>
      </c>
      <c r="K605" s="108">
        <f>SUM(K602:K604)</f>
        <v>388939.54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1800</v>
      </c>
      <c r="G611" s="18">
        <v>390.01</v>
      </c>
      <c r="H611" s="18"/>
      <c r="I611" s="18"/>
      <c r="J611" s="18"/>
      <c r="K611" s="18">
        <v>3200</v>
      </c>
      <c r="L611" s="88">
        <f>SUM(F611:K611)</f>
        <v>5390.01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1575</v>
      </c>
      <c r="G613" s="18">
        <v>247.93</v>
      </c>
      <c r="H613" s="18"/>
      <c r="I613" s="18"/>
      <c r="J613" s="18"/>
      <c r="K613" s="18">
        <v>1600</v>
      </c>
      <c r="L613" s="88">
        <f>SUM(F613:K613)</f>
        <v>3422.9300000000003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3375</v>
      </c>
      <c r="G614" s="108">
        <f t="shared" si="49"/>
        <v>637.94000000000005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4800</v>
      </c>
      <c r="L614" s="89">
        <f t="shared" si="49"/>
        <v>8812.94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1626300.7300000002</v>
      </c>
      <c r="H617" s="109">
        <f>SUM(F52)</f>
        <v>1626300.73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23084.7</v>
      </c>
      <c r="H618" s="109">
        <f>SUM(G52)</f>
        <v>23084.7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273381.40000000002</v>
      </c>
      <c r="H619" s="109">
        <f>SUM(H52)</f>
        <v>273381.39999999997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898209.65999999992</v>
      </c>
      <c r="H621" s="109">
        <f>SUM(J52)</f>
        <v>898209.65999999992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626317.59</v>
      </c>
      <c r="H622" s="109">
        <f>F476</f>
        <v>626317.5900000073</v>
      </c>
      <c r="I622" s="121" t="s">
        <v>101</v>
      </c>
      <c r="J622" s="109">
        <f t="shared" ref="J622:J655" si="50">G622-H622</f>
        <v>-7.3341652750968933E-9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14922.51</v>
      </c>
      <c r="H623" s="109">
        <f>G476</f>
        <v>14922.510000000009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11163.42</v>
      </c>
      <c r="H624" s="109">
        <f>H476</f>
        <v>11163.420000000042</v>
      </c>
      <c r="I624" s="121" t="s">
        <v>103</v>
      </c>
      <c r="J624" s="109">
        <f t="shared" si="50"/>
        <v>-4.1836756281554699E-11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898209.65999999992</v>
      </c>
      <c r="H626" s="109">
        <f>J476</f>
        <v>898209.66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18351257.640000004</v>
      </c>
      <c r="H627" s="104">
        <f>SUM(F468)</f>
        <v>18351257.640000004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515226.92000000004</v>
      </c>
      <c r="H628" s="104">
        <f>SUM(G468)</f>
        <v>515226.92000000004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934460.43</v>
      </c>
      <c r="H629" s="104">
        <f>SUM(H468)</f>
        <v>934460.43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100831.62</v>
      </c>
      <c r="H631" s="104">
        <f>SUM(J468)</f>
        <v>100831.62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18731450.549999997</v>
      </c>
      <c r="H632" s="104">
        <f>SUM(F472)</f>
        <v>18731450.549999997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943632.86999999988</v>
      </c>
      <c r="H633" s="104">
        <f>SUM(H472)</f>
        <v>943632.87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246604.53</v>
      </c>
      <c r="H634" s="104">
        <f>I369</f>
        <v>246604.53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554169.57000000007</v>
      </c>
      <c r="H635" s="104">
        <f>SUM(G472)</f>
        <v>554169.57000000007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100831.62</v>
      </c>
      <c r="H637" s="164">
        <f>SUM(J468)</f>
        <v>100831.62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42454.5</v>
      </c>
      <c r="H638" s="164">
        <f>SUM(J472)</f>
        <v>42454.5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277706.08</v>
      </c>
      <c r="H639" s="104">
        <f>SUM(F461)</f>
        <v>277706.08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620503.57999999996</v>
      </c>
      <c r="H640" s="104">
        <f>SUM(G461)</f>
        <v>620503.57999999996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898209.65999999992</v>
      </c>
      <c r="H642" s="104">
        <f>SUM(I461)</f>
        <v>898209.65999999992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5258.54</v>
      </c>
      <c r="H644" s="104">
        <f>H408</f>
        <v>5258.54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85233.08</v>
      </c>
      <c r="H645" s="104">
        <f>G408</f>
        <v>85233.08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100831.62</v>
      </c>
      <c r="H646" s="104">
        <f>L408</f>
        <v>100831.62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1070528.1600000001</v>
      </c>
      <c r="H647" s="104">
        <f>L208+L226+L244</f>
        <v>1070528.1600000001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388939.54</v>
      </c>
      <c r="H648" s="104">
        <f>(J257+J338)-(J255+J336)</f>
        <v>388939.54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639775.66</v>
      </c>
      <c r="H649" s="104">
        <f>H598</f>
        <v>639775.66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430752.5</v>
      </c>
      <c r="H651" s="104">
        <f>J598</f>
        <v>430752.5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8652</v>
      </c>
      <c r="H652" s="104">
        <f>K263+K345</f>
        <v>8652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85233.08</v>
      </c>
      <c r="H655" s="104">
        <f>K266+K347</f>
        <v>85233.08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12190414.639999997</v>
      </c>
      <c r="G660" s="19">
        <f>(L229+L309+L359)</f>
        <v>0</v>
      </c>
      <c r="H660" s="19">
        <f>(L247+L328+L360)</f>
        <v>7809469.4800000004</v>
      </c>
      <c r="I660" s="19">
        <f>SUM(F660:H660)</f>
        <v>19999884.119999997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110089.83377041326</v>
      </c>
      <c r="G661" s="19">
        <f>(L359/IF(SUM(L358:L360)=0,1,SUM(L358:L360))*(SUM(G97:G110)))</f>
        <v>0</v>
      </c>
      <c r="H661" s="19">
        <f>(L360/IF(SUM(L358:L360)=0,1,SUM(L358:L360))*(SUM(G97:G110)))</f>
        <v>54567.226229586726</v>
      </c>
      <c r="I661" s="19">
        <f>SUM(F661:H661)</f>
        <v>164657.06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639775.66</v>
      </c>
      <c r="G662" s="19">
        <f>(L226+L306)-(J226+J306)</f>
        <v>0</v>
      </c>
      <c r="H662" s="19">
        <f>(L244+L325)-(J244+J325)</f>
        <v>432189.84</v>
      </c>
      <c r="I662" s="19">
        <f>SUM(F662:H662)</f>
        <v>1071965.5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SUM(F576:F587)+SUM(H602:H604)+SUM(L611)</f>
        <v>88035.559999999983</v>
      </c>
      <c r="G663" s="199">
        <f>SUM(G575:G587)+SUM(I602:I604)+L612</f>
        <v>0</v>
      </c>
      <c r="H663" s="199">
        <f>SUM(H575:H587)+SUM(J602:J604)+L613</f>
        <v>784153.64</v>
      </c>
      <c r="I663" s="19">
        <f>SUM(F663:H663)</f>
        <v>872189.2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11352513.586229583</v>
      </c>
      <c r="G664" s="19">
        <f>G660-SUM(G661:G663)</f>
        <v>0</v>
      </c>
      <c r="H664" s="19">
        <f>H660-SUM(H661:H663)</f>
        <v>6538558.7737704143</v>
      </c>
      <c r="I664" s="19">
        <f>I660-SUM(I661:I663)</f>
        <v>17891072.359999999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751.1</v>
      </c>
      <c r="G665" s="248"/>
      <c r="H665" s="248">
        <v>381.96</v>
      </c>
      <c r="I665" s="19">
        <f>SUM(F665:H665)</f>
        <v>1133.06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15114.52</v>
      </c>
      <c r="G667" s="19" t="e">
        <f>ROUND(G664/G665,2)</f>
        <v>#DIV/0!</v>
      </c>
      <c r="H667" s="19">
        <f>ROUND(H664/H665,2)</f>
        <v>17118.439999999999</v>
      </c>
      <c r="I667" s="19">
        <f>ROUND(I664/I665,2)</f>
        <v>15790.05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6.5</v>
      </c>
      <c r="I670" s="19">
        <f>SUM(F670:H670)</f>
        <v>6.5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15114.52</v>
      </c>
      <c r="G672" s="19" t="e">
        <f>ROUND((G664+G669)/(G665+G670),2)</f>
        <v>#DIV/0!</v>
      </c>
      <c r="H672" s="19">
        <f>ROUND((H664+H669)/(H665+H670),2)</f>
        <v>16832</v>
      </c>
      <c r="I672" s="19">
        <f>ROUND((I664+I669)/(I665+I670),2)</f>
        <v>15699.98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White Mountains Reg SD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4302349.97</v>
      </c>
      <c r="C9" s="229">
        <f>'DOE25'!G197+'DOE25'!G215+'DOE25'!G233+'DOE25'!G276+'DOE25'!G295+'DOE25'!G314</f>
        <v>2203225.65</v>
      </c>
    </row>
    <row r="10" spans="1:3" x14ac:dyDescent="0.2">
      <c r="A10" t="s">
        <v>779</v>
      </c>
      <c r="B10" s="240">
        <v>3914190.83</v>
      </c>
      <c r="C10" s="240">
        <v>2036749</v>
      </c>
    </row>
    <row r="11" spans="1:3" x14ac:dyDescent="0.2">
      <c r="A11" t="s">
        <v>780</v>
      </c>
      <c r="B11" s="240">
        <v>141280.85</v>
      </c>
      <c r="C11" s="240">
        <v>104314.66</v>
      </c>
    </row>
    <row r="12" spans="1:3" x14ac:dyDescent="0.2">
      <c r="A12" t="s">
        <v>781</v>
      </c>
      <c r="B12" s="240">
        <v>246878.29</v>
      </c>
      <c r="C12" s="240">
        <v>62161.99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4302349.97</v>
      </c>
      <c r="C13" s="231">
        <f>SUM(C10:C12)</f>
        <v>2203225.6500000004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1427594.4</v>
      </c>
      <c r="C18" s="229">
        <f>'DOE25'!G198+'DOE25'!G216+'DOE25'!G234+'DOE25'!G277+'DOE25'!G296+'DOE25'!G315</f>
        <v>719545.49</v>
      </c>
    </row>
    <row r="19" spans="1:3" x14ac:dyDescent="0.2">
      <c r="A19" t="s">
        <v>779</v>
      </c>
      <c r="B19" s="240">
        <v>853163.57</v>
      </c>
      <c r="C19" s="240">
        <v>448349.45</v>
      </c>
    </row>
    <row r="20" spans="1:3" x14ac:dyDescent="0.2">
      <c r="A20" t="s">
        <v>780</v>
      </c>
      <c r="B20" s="240">
        <v>558660.61</v>
      </c>
      <c r="C20" s="240">
        <v>271196.03999999998</v>
      </c>
    </row>
    <row r="21" spans="1:3" x14ac:dyDescent="0.2">
      <c r="A21" t="s">
        <v>781</v>
      </c>
      <c r="B21" s="240">
        <v>15770.22</v>
      </c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1427594.4</v>
      </c>
      <c r="C22" s="231">
        <f>SUM(C19:C21)</f>
        <v>719545.49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218739.88</v>
      </c>
      <c r="C27" s="234">
        <f>'DOE25'!G199+'DOE25'!G217+'DOE25'!G235+'DOE25'!G278+'DOE25'!G297+'DOE25'!G316</f>
        <v>101405.43</v>
      </c>
    </row>
    <row r="28" spans="1:3" x14ac:dyDescent="0.2">
      <c r="A28" t="s">
        <v>779</v>
      </c>
      <c r="B28" s="240">
        <v>218739.88</v>
      </c>
      <c r="C28" s="240">
        <v>101405.43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218739.88</v>
      </c>
      <c r="C31" s="231">
        <f>SUM(C28:C30)</f>
        <v>101405.43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318352.72000000003</v>
      </c>
      <c r="C36" s="235">
        <f>'DOE25'!G200+'DOE25'!G218+'DOE25'!G236+'DOE25'!G279+'DOE25'!G298+'DOE25'!G317</f>
        <v>72321.530000000013</v>
      </c>
    </row>
    <row r="37" spans="1:3" x14ac:dyDescent="0.2">
      <c r="A37" t="s">
        <v>779</v>
      </c>
      <c r="B37" s="240">
        <v>86867.17</v>
      </c>
      <c r="C37" s="240">
        <v>40253.129999999997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231485.55</v>
      </c>
      <c r="C39" s="240">
        <v>32068.400000000001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318352.71999999997</v>
      </c>
      <c r="C40" s="231">
        <f>SUM(C37:C39)</f>
        <v>72321.53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7" sqref="F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White Mountains Reg SD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10367446.77</v>
      </c>
      <c r="D5" s="20">
        <f>SUM('DOE25'!L197:L200)+SUM('DOE25'!L215:L218)+SUM('DOE25'!L233:L236)-F5-G5</f>
        <v>10057110.5</v>
      </c>
      <c r="E5" s="243"/>
      <c r="F5" s="255">
        <f>SUM('DOE25'!J197:J200)+SUM('DOE25'!J215:J218)+SUM('DOE25'!J233:J236)</f>
        <v>239642.5</v>
      </c>
      <c r="G5" s="53">
        <f>SUM('DOE25'!K197:K200)+SUM('DOE25'!K215:K218)+SUM('DOE25'!K233:K236)</f>
        <v>70693.77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1403664.89</v>
      </c>
      <c r="D6" s="20">
        <f>'DOE25'!L202+'DOE25'!L220+'DOE25'!L238-F6-G6</f>
        <v>1402692.5799999998</v>
      </c>
      <c r="E6" s="243"/>
      <c r="F6" s="255">
        <f>'DOE25'!J202+'DOE25'!J220+'DOE25'!J238</f>
        <v>388.45</v>
      </c>
      <c r="G6" s="53">
        <f>'DOE25'!K202+'DOE25'!K220+'DOE25'!K238</f>
        <v>583.86</v>
      </c>
      <c r="H6" s="259"/>
    </row>
    <row r="7" spans="1:9" x14ac:dyDescent="0.2">
      <c r="A7" s="32">
        <v>2200</v>
      </c>
      <c r="B7" t="s">
        <v>834</v>
      </c>
      <c r="C7" s="245">
        <f t="shared" si="0"/>
        <v>466869.82000000007</v>
      </c>
      <c r="D7" s="20">
        <f>'DOE25'!L203+'DOE25'!L221+'DOE25'!L239-F7-G7</f>
        <v>450204.34</v>
      </c>
      <c r="E7" s="243"/>
      <c r="F7" s="255">
        <f>'DOE25'!J203+'DOE25'!J221+'DOE25'!J239</f>
        <v>10404.52</v>
      </c>
      <c r="G7" s="53">
        <f>'DOE25'!K203+'DOE25'!K221+'DOE25'!K239</f>
        <v>6260.96</v>
      </c>
      <c r="H7" s="259"/>
    </row>
    <row r="8" spans="1:9" x14ac:dyDescent="0.2">
      <c r="A8" s="32">
        <v>2300</v>
      </c>
      <c r="B8" t="s">
        <v>802</v>
      </c>
      <c r="C8" s="245">
        <f t="shared" si="0"/>
        <v>908706.55000000016</v>
      </c>
      <c r="D8" s="243"/>
      <c r="E8" s="20">
        <f>'DOE25'!L204+'DOE25'!L222+'DOE25'!L240-F8-G8-D9-D11</f>
        <v>866276.47000000009</v>
      </c>
      <c r="F8" s="255">
        <f>'DOE25'!J204+'DOE25'!J222+'DOE25'!J240</f>
        <v>8036.68</v>
      </c>
      <c r="G8" s="53">
        <f>'DOE25'!K204+'DOE25'!K222+'DOE25'!K240</f>
        <v>34393.4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142528.29999999999</v>
      </c>
      <c r="D9" s="244">
        <v>142528.29999999999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15600</v>
      </c>
      <c r="D10" s="243"/>
      <c r="E10" s="244">
        <v>15600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210334.61</v>
      </c>
      <c r="D11" s="244">
        <v>210334.61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1335728.06</v>
      </c>
      <c r="D12" s="20">
        <f>'DOE25'!L205+'DOE25'!L223+'DOE25'!L241-F12-G12</f>
        <v>1241544.1400000001</v>
      </c>
      <c r="E12" s="243"/>
      <c r="F12" s="255">
        <f>'DOE25'!J205+'DOE25'!J223+'DOE25'!J241</f>
        <v>58714.460000000006</v>
      </c>
      <c r="G12" s="53">
        <f>'DOE25'!K205+'DOE25'!K223+'DOE25'!K241</f>
        <v>35469.46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214448.21999999997</v>
      </c>
      <c r="D13" s="243"/>
      <c r="E13" s="20">
        <f>'DOE25'!L206+'DOE25'!L224+'DOE25'!L242-F13-G13</f>
        <v>214298.21999999997</v>
      </c>
      <c r="F13" s="255">
        <f>'DOE25'!J206+'DOE25'!J224+'DOE25'!J242</f>
        <v>0</v>
      </c>
      <c r="G13" s="53">
        <f>'DOE25'!K206+'DOE25'!K224+'DOE25'!K242</f>
        <v>150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2429409.8099999996</v>
      </c>
      <c r="D14" s="20">
        <f>'DOE25'!L207+'DOE25'!L225+'DOE25'!L243-F14-G14</f>
        <v>2411448.5199999996</v>
      </c>
      <c r="E14" s="243"/>
      <c r="F14" s="255">
        <f>'DOE25'!J207+'DOE25'!J225+'DOE25'!J243</f>
        <v>17961.29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1070528.1600000001</v>
      </c>
      <c r="D15" s="20">
        <f>'DOE25'!L208+'DOE25'!L226+'DOE25'!L244-F15-G15</f>
        <v>1070528.1600000001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229.95</v>
      </c>
      <c r="D16" s="243"/>
      <c r="E16" s="20">
        <f>'DOE25'!L209+'DOE25'!L227+'DOE25'!L245-F16-G16</f>
        <v>229.95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258.36</v>
      </c>
      <c r="D17" s="20">
        <f>'DOE25'!L251-F17-G17</f>
        <v>258.36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33575.97</v>
      </c>
      <c r="D22" s="243"/>
      <c r="E22" s="243"/>
      <c r="F22" s="255">
        <f>'DOE25'!L255+'DOE25'!L336</f>
        <v>33575.97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324609.30000000005</v>
      </c>
      <c r="D29" s="20">
        <f>'DOE25'!L358+'DOE25'!L359+'DOE25'!L360-'DOE25'!I367-F29-G29</f>
        <v>318639.00000000006</v>
      </c>
      <c r="E29" s="243"/>
      <c r="F29" s="255">
        <f>'DOE25'!J358+'DOE25'!J359+'DOE25'!J360</f>
        <v>2401.83</v>
      </c>
      <c r="G29" s="53">
        <f>'DOE25'!K358+'DOE25'!K359+'DOE25'!K360</f>
        <v>3568.47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895819.40999999992</v>
      </c>
      <c r="D31" s="20">
        <f>'DOE25'!L290+'DOE25'!L309+'DOE25'!L328+'DOE25'!L333+'DOE25'!L334+'DOE25'!L335-F31-G31</f>
        <v>827315.35999999987</v>
      </c>
      <c r="E31" s="243"/>
      <c r="F31" s="255">
        <f>'DOE25'!J290+'DOE25'!J309+'DOE25'!J328+'DOE25'!J333+'DOE25'!J334+'DOE25'!J335</f>
        <v>53791.640000000007</v>
      </c>
      <c r="G31" s="53">
        <f>'DOE25'!K290+'DOE25'!K309+'DOE25'!K328+'DOE25'!K333+'DOE25'!K334+'DOE25'!K335</f>
        <v>14712.41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18132603.869999997</v>
      </c>
      <c r="E33" s="246">
        <f>SUM(E5:E31)</f>
        <v>1096404.6399999999</v>
      </c>
      <c r="F33" s="246">
        <f>SUM(F5:F31)</f>
        <v>424917.34</v>
      </c>
      <c r="G33" s="246">
        <f>SUM(G5:G31)</f>
        <v>165832.33000000002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1096404.6399999999</v>
      </c>
      <c r="E35" s="249"/>
    </row>
    <row r="36" spans="2:8" ht="12" thickTop="1" x14ac:dyDescent="0.2">
      <c r="B36" t="s">
        <v>815</v>
      </c>
      <c r="D36" s="20">
        <f>D33</f>
        <v>18132603.869999997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White Mountains Reg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817085.92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158.91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461209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263407.62</v>
      </c>
      <c r="D12" s="95">
        <f>'DOE25'!G13</f>
        <v>23084.7</v>
      </c>
      <c r="E12" s="95">
        <f>'DOE25'!H13</f>
        <v>273381.40000000002</v>
      </c>
      <c r="F12" s="95">
        <f>'DOE25'!I13</f>
        <v>0</v>
      </c>
      <c r="G12" s="95">
        <f>'DOE25'!J13</f>
        <v>898209.65999999992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2634.28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81805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1626300.7300000002</v>
      </c>
      <c r="D18" s="41">
        <f>SUM(D8:D17)</f>
        <v>23084.7</v>
      </c>
      <c r="E18" s="41">
        <f>SUM(E8:E17)</f>
        <v>273381.40000000002</v>
      </c>
      <c r="F18" s="41">
        <f>SUM(F8:F17)</f>
        <v>0</v>
      </c>
      <c r="G18" s="41">
        <f>SUM(G8:G17)</f>
        <v>898209.65999999992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-246867.13</v>
      </c>
      <c r="D21" s="95">
        <f>'DOE25'!G22</f>
        <v>8162.19</v>
      </c>
      <c r="E21" s="95">
        <f>'DOE25'!H22</f>
        <v>238704.94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90859.15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1155991.1200000001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23513.040000000001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999983.14000000013</v>
      </c>
      <c r="D31" s="41">
        <f>SUM(D21:D30)</f>
        <v>8162.19</v>
      </c>
      <c r="E31" s="41">
        <f>SUM(E21:E30)</f>
        <v>262217.98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14922.51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68915.59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11163.42</v>
      </c>
      <c r="F47" s="95">
        <f>'DOE25'!I48</f>
        <v>0</v>
      </c>
      <c r="G47" s="95">
        <f>'DOE25'!J48</f>
        <v>898209.65999999992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557402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626317.59</v>
      </c>
      <c r="D50" s="41">
        <f>SUM(D34:D49)</f>
        <v>14922.51</v>
      </c>
      <c r="E50" s="41">
        <f>SUM(E34:E49)</f>
        <v>11163.42</v>
      </c>
      <c r="F50" s="41">
        <f>SUM(F34:F49)</f>
        <v>0</v>
      </c>
      <c r="G50" s="41">
        <f>SUM(G34:G49)</f>
        <v>898209.65999999992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1626300.73</v>
      </c>
      <c r="D51" s="41">
        <f>D50+D31</f>
        <v>23084.7</v>
      </c>
      <c r="E51" s="41">
        <f>E50+E31</f>
        <v>273381.39999999997</v>
      </c>
      <c r="F51" s="41">
        <f>F50+F31</f>
        <v>0</v>
      </c>
      <c r="G51" s="41">
        <f>G50+G31</f>
        <v>898209.65999999992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8534000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500110.73000000004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4012.24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5258.54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164657.06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11487.75</v>
      </c>
      <c r="D61" s="95">
        <f>SUM('DOE25'!G98:G110)</f>
        <v>0</v>
      </c>
      <c r="E61" s="95">
        <f>SUM('DOE25'!H98:H110)</f>
        <v>28599.05</v>
      </c>
      <c r="F61" s="95">
        <f>SUM('DOE25'!I98:I110)</f>
        <v>0</v>
      </c>
      <c r="G61" s="95">
        <f>SUM('DOE25'!J98:J110)</f>
        <v>10340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515610.72000000003</v>
      </c>
      <c r="D62" s="130">
        <f>SUM(D57:D61)</f>
        <v>164657.06</v>
      </c>
      <c r="E62" s="130">
        <f>SUM(E57:E61)</f>
        <v>28599.05</v>
      </c>
      <c r="F62" s="130">
        <f>SUM(F57:F61)</f>
        <v>0</v>
      </c>
      <c r="G62" s="130">
        <f>SUM(G57:G61)</f>
        <v>15598.54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9049610.7200000007</v>
      </c>
      <c r="D63" s="22">
        <f>D56+D62</f>
        <v>164657.06</v>
      </c>
      <c r="E63" s="22">
        <f>E56+E62</f>
        <v>28599.05</v>
      </c>
      <c r="F63" s="22">
        <f>F56+F62</f>
        <v>0</v>
      </c>
      <c r="G63" s="22">
        <f>G56+G62</f>
        <v>15598.54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6801344.1399999997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2187458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8988802.1400000006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47259.46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7561.46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88208.24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7427.54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143029.16</v>
      </c>
      <c r="D78" s="130">
        <f>SUM(D72:D77)</f>
        <v>7427.54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9131831.3000000007</v>
      </c>
      <c r="D81" s="130">
        <f>SUM(D79:D80)+D78+D70</f>
        <v>7427.54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105311.96</v>
      </c>
      <c r="D88" s="95">
        <f>SUM('DOE25'!G153:G161)</f>
        <v>334490.32</v>
      </c>
      <c r="E88" s="95">
        <f>SUM('DOE25'!H153:H161)</f>
        <v>905861.38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16690.2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122002.16</v>
      </c>
      <c r="D91" s="131">
        <f>SUM(D85:D90)</f>
        <v>334490.32</v>
      </c>
      <c r="E91" s="131">
        <f>SUM(E85:E90)</f>
        <v>905861.38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8652</v>
      </c>
      <c r="E96" s="95">
        <f>'DOE25'!H179</f>
        <v>0</v>
      </c>
      <c r="F96" s="95">
        <f>'DOE25'!I179</f>
        <v>0</v>
      </c>
      <c r="G96" s="95">
        <f>'DOE25'!J179</f>
        <v>85233.08</v>
      </c>
    </row>
    <row r="97" spans="1:7" x14ac:dyDescent="0.2">
      <c r="A97" t="s">
        <v>758</v>
      </c>
      <c r="B97" s="32" t="s">
        <v>188</v>
      </c>
      <c r="C97" s="95">
        <f>SUM('DOE25'!F180:F181)</f>
        <v>47813.46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47813.46</v>
      </c>
      <c r="D103" s="86">
        <f>SUM(D93:D102)</f>
        <v>8652</v>
      </c>
      <c r="E103" s="86">
        <f>SUM(E93:E102)</f>
        <v>0</v>
      </c>
      <c r="F103" s="86">
        <f>SUM(F93:F102)</f>
        <v>0</v>
      </c>
      <c r="G103" s="86">
        <f>SUM(G93:G102)</f>
        <v>85233.08</v>
      </c>
    </row>
    <row r="104" spans="1:7" ht="12.75" thickTop="1" thickBot="1" x14ac:dyDescent="0.25">
      <c r="A104" s="33" t="s">
        <v>765</v>
      </c>
      <c r="C104" s="86">
        <f>C63+C81+C91+C103</f>
        <v>18351257.640000004</v>
      </c>
      <c r="D104" s="86">
        <f>D63+D81+D91+D103</f>
        <v>515226.92000000004</v>
      </c>
      <c r="E104" s="86">
        <f>E63+E81+E91+E103</f>
        <v>934460.43</v>
      </c>
      <c r="F104" s="86">
        <f>F63+F81+F91+F103</f>
        <v>0</v>
      </c>
      <c r="G104" s="86">
        <f>G63+G81+G103</f>
        <v>100831.62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6654639.1899999995</v>
      </c>
      <c r="D109" s="24" t="s">
        <v>289</v>
      </c>
      <c r="E109" s="95">
        <f>('DOE25'!L276)+('DOE25'!L295)+('DOE25'!L314)</f>
        <v>309120.88999999996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2605085.84</v>
      </c>
      <c r="D110" s="24" t="s">
        <v>289</v>
      </c>
      <c r="E110" s="95">
        <f>('DOE25'!L277)+('DOE25'!L296)+('DOE25'!L315)</f>
        <v>58899.740000000005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611429.5</v>
      </c>
      <c r="D111" s="24" t="s">
        <v>289</v>
      </c>
      <c r="E111" s="95">
        <f>('DOE25'!L278)+('DOE25'!L297)+('DOE25'!L316)</f>
        <v>82235.34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496292.24</v>
      </c>
      <c r="D112" s="24" t="s">
        <v>289</v>
      </c>
      <c r="E112" s="95">
        <f>+('DOE25'!L279)+('DOE25'!L298)+('DOE25'!L317)</f>
        <v>4254.1100000000006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258.36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10367705.129999999</v>
      </c>
      <c r="D115" s="86">
        <f>SUM(D109:D114)</f>
        <v>0</v>
      </c>
      <c r="E115" s="86">
        <f>SUM(E109:E114)</f>
        <v>454510.07999999996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1403664.89</v>
      </c>
      <c r="D118" s="24" t="s">
        <v>289</v>
      </c>
      <c r="E118" s="95">
        <f>+('DOE25'!L281)+('DOE25'!L300)+('DOE25'!L319)</f>
        <v>269202.38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466869.82000000007</v>
      </c>
      <c r="D119" s="24" t="s">
        <v>289</v>
      </c>
      <c r="E119" s="95">
        <f>+('DOE25'!L282)+('DOE25'!L301)+('DOE25'!L320)</f>
        <v>111459.19999999998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1261569.46</v>
      </c>
      <c r="D120" s="24" t="s">
        <v>289</v>
      </c>
      <c r="E120" s="95">
        <f>+('DOE25'!L283)+('DOE25'!L302)+('DOE25'!L321)</f>
        <v>55375.360000000001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1335728.06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214448.21999999997</v>
      </c>
      <c r="D122" s="24" t="s">
        <v>289</v>
      </c>
      <c r="E122" s="95">
        <f>+('DOE25'!L285)+('DOE25'!L304)+('DOE25'!L323)</f>
        <v>539.4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2429409.8099999996</v>
      </c>
      <c r="D123" s="24" t="s">
        <v>289</v>
      </c>
      <c r="E123" s="95">
        <f>+('DOE25'!L286)+('DOE25'!L305)+('DOE25'!L324)</f>
        <v>119.27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1070528.1600000001</v>
      </c>
      <c r="D124" s="24" t="s">
        <v>289</v>
      </c>
      <c r="E124" s="95">
        <f>+('DOE25'!L287)+('DOE25'!L306)+('DOE25'!L325)</f>
        <v>1437.34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229.95</v>
      </c>
      <c r="D125" s="24" t="s">
        <v>289</v>
      </c>
      <c r="E125" s="95">
        <f>+('DOE25'!L288)+('DOE25'!L307)+('DOE25'!L326)</f>
        <v>3176.38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554169.57000000007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8182448.3700000001</v>
      </c>
      <c r="D128" s="86">
        <f>SUM(D118:D127)</f>
        <v>554169.57000000007</v>
      </c>
      <c r="E128" s="86">
        <f>SUM(E118:E127)</f>
        <v>441309.33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33575.97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47813.46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8652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35342.57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65489.05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-15598.539999999994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53836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181297.05000000005</v>
      </c>
      <c r="D144" s="141">
        <f>SUM(D130:D143)</f>
        <v>0</v>
      </c>
      <c r="E144" s="141">
        <f>SUM(E130:E143)</f>
        <v>47813.46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18731450.550000001</v>
      </c>
      <c r="D145" s="86">
        <f>(D115+D128+D144)</f>
        <v>554169.57000000007</v>
      </c>
      <c r="E145" s="86">
        <f>(E115+E128+E144)</f>
        <v>943632.86999999988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White Mountains Reg SD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15115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16832</v>
      </c>
    </row>
    <row r="7" spans="1:4" x14ac:dyDescent="0.2">
      <c r="B7" t="s">
        <v>705</v>
      </c>
      <c r="C7" s="179">
        <f>IF('DOE25'!I665+'DOE25'!I670=0,0,ROUND('DOE25'!I672,0))</f>
        <v>15700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6963760</v>
      </c>
      <c r="D10" s="182">
        <f>ROUND((C10/$C$28)*100,1)</f>
        <v>35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2663986</v>
      </c>
      <c r="D11" s="182">
        <f>ROUND((C11/$C$28)*100,1)</f>
        <v>13.4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693665</v>
      </c>
      <c r="D12" s="182">
        <f>ROUND((C12/$C$28)*100,1)</f>
        <v>3.5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500546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1672867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578329</v>
      </c>
      <c r="D16" s="182">
        <f t="shared" si="0"/>
        <v>2.9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1320351</v>
      </c>
      <c r="D17" s="182">
        <f t="shared" si="0"/>
        <v>6.6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1335728</v>
      </c>
      <c r="D18" s="182">
        <f t="shared" si="0"/>
        <v>6.7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214988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2429529</v>
      </c>
      <c r="D20" s="182">
        <f t="shared" si="0"/>
        <v>12.2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1071966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258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53836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389512.94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19889321.940000001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33576</v>
      </c>
    </row>
    <row r="30" spans="1:4" x14ac:dyDescent="0.2">
      <c r="B30" s="187" t="s">
        <v>729</v>
      </c>
      <c r="C30" s="180">
        <f>SUM(C28:C29)</f>
        <v>19922897.940000001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8534000</v>
      </c>
      <c r="D35" s="182">
        <f t="shared" ref="D35:D40" si="1">ROUND((C35/$C$41)*100,1)</f>
        <v>43.6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559808.31000000052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8988802</v>
      </c>
      <c r="D37" s="182">
        <f t="shared" si="1"/>
        <v>45.9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150457</v>
      </c>
      <c r="D38" s="182">
        <f t="shared" si="1"/>
        <v>0.8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1362354</v>
      </c>
      <c r="D39" s="182">
        <f t="shared" si="1"/>
        <v>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19595421.310000002</v>
      </c>
      <c r="D41" s="184">
        <f>SUM(D35:D40)</f>
        <v>100.2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13" sqref="A1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White Mountains Reg SD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2</v>
      </c>
      <c r="B4" s="219">
        <v>17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4</v>
      </c>
      <c r="B6" s="219">
        <v>10</v>
      </c>
      <c r="C6" s="285" t="s">
        <v>913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 t="s">
        <v>914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1" t="s">
        <v>912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 t="s">
        <v>915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 t="s">
        <v>916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1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13:M13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2015-09-22T16:41:23Z</cp:lastPrinted>
  <dcterms:created xsi:type="dcterms:W3CDTF">1997-12-04T19:04:30Z</dcterms:created>
  <dcterms:modified xsi:type="dcterms:W3CDTF">2015-11-30T14:50:41Z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