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D11" i="13" l="1"/>
  <c r="E10" i="13"/>
  <c r="D9" i="13"/>
  <c r="B38" i="12" l="1"/>
  <c r="B39" i="12"/>
  <c r="C20" i="12"/>
  <c r="C11" i="12"/>
  <c r="C12" i="12"/>
  <c r="C10" i="12"/>
  <c r="B20" i="12"/>
  <c r="B19" i="12"/>
  <c r="B11" i="12"/>
  <c r="B10" i="12"/>
  <c r="B12" i="12"/>
  <c r="I507" i="1" l="1"/>
  <c r="G611" i="1"/>
  <c r="G612" i="1"/>
  <c r="H611" i="1"/>
  <c r="F611" i="1"/>
  <c r="G613" i="1"/>
  <c r="F613" i="1"/>
  <c r="F612" i="1"/>
  <c r="J604" i="1"/>
  <c r="I604" i="1"/>
  <c r="H604" i="1"/>
  <c r="H595" i="1"/>
  <c r="H592" i="1"/>
  <c r="H591" i="1"/>
  <c r="J594" i="1"/>
  <c r="J593" i="1"/>
  <c r="J595" i="1"/>
  <c r="J592" i="1"/>
  <c r="I594" i="1"/>
  <c r="I595" i="1"/>
  <c r="I592" i="1"/>
  <c r="J209" i="1"/>
  <c r="G579" i="1"/>
  <c r="H584" i="1"/>
  <c r="H582" i="1"/>
  <c r="H579" i="1"/>
  <c r="H562" i="1"/>
  <c r="F562" i="1"/>
  <c r="H526" i="1"/>
  <c r="I526" i="1"/>
  <c r="J526" i="1"/>
  <c r="G526" i="1"/>
  <c r="F526" i="1"/>
  <c r="I523" i="1"/>
  <c r="I522" i="1"/>
  <c r="J521" i="1"/>
  <c r="G523" i="1"/>
  <c r="G522" i="1"/>
  <c r="F523" i="1"/>
  <c r="F522" i="1"/>
  <c r="H541" i="1"/>
  <c r="H536" i="1"/>
  <c r="H521" i="1"/>
  <c r="G521" i="1"/>
  <c r="F521" i="1"/>
  <c r="I521" i="1"/>
  <c r="H528" i="1"/>
  <c r="H523" i="1"/>
  <c r="J523" i="1"/>
  <c r="H542" i="1"/>
  <c r="H537" i="1"/>
  <c r="H527" i="1"/>
  <c r="H522" i="1"/>
  <c r="J522" i="1"/>
  <c r="J533" i="1"/>
  <c r="J532" i="1"/>
  <c r="I533" i="1"/>
  <c r="I532" i="1"/>
  <c r="J531" i="1"/>
  <c r="I531" i="1"/>
  <c r="G533" i="1"/>
  <c r="G532" i="1"/>
  <c r="G531" i="1"/>
  <c r="H533" i="1"/>
  <c r="H532" i="1"/>
  <c r="H531" i="1"/>
  <c r="F533" i="1"/>
  <c r="F532" i="1"/>
  <c r="F531" i="1"/>
  <c r="I528" i="1"/>
  <c r="I527" i="1"/>
  <c r="G528" i="1"/>
  <c r="G527" i="1"/>
  <c r="F528" i="1"/>
  <c r="F527" i="1"/>
  <c r="J527" i="1"/>
  <c r="J528" i="1"/>
  <c r="K523" i="1"/>
  <c r="K522" i="1"/>
  <c r="K521" i="1"/>
  <c r="G502" i="1" l="1"/>
  <c r="G499" i="1"/>
  <c r="G498" i="1"/>
  <c r="F499" i="1"/>
  <c r="F502" i="1"/>
  <c r="F498" i="1"/>
  <c r="F24" i="1" l="1"/>
  <c r="F473" i="1"/>
  <c r="F472" i="1"/>
  <c r="G368" i="1"/>
  <c r="J468" i="1" l="1"/>
  <c r="I473" i="1" l="1"/>
  <c r="H379" i="1"/>
  <c r="H376" i="1"/>
  <c r="H375" i="1"/>
  <c r="I174" i="1"/>
  <c r="I173" i="1"/>
  <c r="H282" i="1"/>
  <c r="H320" i="1"/>
  <c r="H301" i="1"/>
  <c r="I296" i="1"/>
  <c r="J296" i="1"/>
  <c r="I315" i="1"/>
  <c r="J315" i="1"/>
  <c r="H281" i="1"/>
  <c r="F281" i="1"/>
  <c r="J281" i="1"/>
  <c r="I281" i="1"/>
  <c r="G281" i="1"/>
  <c r="G315" i="1"/>
  <c r="G296" i="1"/>
  <c r="F315" i="1"/>
  <c r="F296" i="1"/>
  <c r="F279" i="1" l="1"/>
  <c r="G276" i="1"/>
  <c r="I276" i="1"/>
  <c r="G282" i="1"/>
  <c r="F282" i="1"/>
  <c r="H276" i="1"/>
  <c r="F276" i="1"/>
  <c r="G301" i="1"/>
  <c r="G320" i="1"/>
  <c r="F320" i="1"/>
  <c r="F301" i="1"/>
  <c r="I301" i="1"/>
  <c r="I320" i="1"/>
  <c r="I282" i="1"/>
  <c r="J305" i="1"/>
  <c r="J286" i="1"/>
  <c r="J324" i="1"/>
  <c r="H324" i="1"/>
  <c r="H305" i="1"/>
  <c r="H286" i="1"/>
  <c r="H326" i="1"/>
  <c r="H307" i="1"/>
  <c r="I314" i="1"/>
  <c r="I295" i="1"/>
  <c r="H159" i="1"/>
  <c r="H155" i="1"/>
  <c r="H154" i="1"/>
  <c r="H120" i="1"/>
  <c r="H102" i="1"/>
  <c r="H367" i="1"/>
  <c r="G367" i="1"/>
  <c r="F367" i="1"/>
  <c r="K360" i="1"/>
  <c r="K359" i="1"/>
  <c r="K358" i="1"/>
  <c r="J360" i="1"/>
  <c r="I359" i="1"/>
  <c r="I360" i="1"/>
  <c r="I358" i="1"/>
  <c r="H360" i="1"/>
  <c r="H359" i="1"/>
  <c r="H358" i="1"/>
  <c r="G360" i="1"/>
  <c r="G359" i="1"/>
  <c r="G358" i="1"/>
  <c r="F360" i="1"/>
  <c r="F359" i="1"/>
  <c r="F358" i="1"/>
  <c r="G97" i="1"/>
  <c r="G161" i="1"/>
  <c r="G158" i="1"/>
  <c r="G132" i="1"/>
  <c r="K220" i="1"/>
  <c r="K242" i="1"/>
  <c r="K241" i="1"/>
  <c r="K240" i="1"/>
  <c r="K239" i="1"/>
  <c r="K238" i="1"/>
  <c r="K236" i="1"/>
  <c r="K234" i="1"/>
  <c r="K224" i="1"/>
  <c r="K223" i="1"/>
  <c r="K222" i="1"/>
  <c r="K221" i="1"/>
  <c r="K218" i="1"/>
  <c r="K216" i="1"/>
  <c r="K215" i="1"/>
  <c r="K260" i="1"/>
  <c r="K206" i="1"/>
  <c r="K205" i="1"/>
  <c r="K204" i="1"/>
  <c r="K202" i="1"/>
  <c r="K198" i="1"/>
  <c r="K197" i="1"/>
  <c r="J243" i="1"/>
  <c r="J242" i="1"/>
  <c r="J224" i="1"/>
  <c r="J239" i="1"/>
  <c r="J238" i="1"/>
  <c r="J220" i="1"/>
  <c r="J236" i="1"/>
  <c r="J234" i="1"/>
  <c r="J233" i="1"/>
  <c r="J225" i="1"/>
  <c r="J218" i="1"/>
  <c r="J216" i="1"/>
  <c r="J215" i="1"/>
  <c r="J207" i="1"/>
  <c r="J206" i="1"/>
  <c r="J205" i="1"/>
  <c r="J203" i="1"/>
  <c r="J202" i="1"/>
  <c r="J198" i="1"/>
  <c r="J197" i="1"/>
  <c r="I245" i="1" l="1"/>
  <c r="I240" i="1"/>
  <c r="I243" i="1"/>
  <c r="I242" i="1"/>
  <c r="I241" i="1"/>
  <c r="I239" i="1"/>
  <c r="I222" i="1"/>
  <c r="I238" i="1"/>
  <c r="I236" i="1"/>
  <c r="I234" i="1"/>
  <c r="I233" i="1"/>
  <c r="I227" i="1"/>
  <c r="I225" i="1"/>
  <c r="I224" i="1"/>
  <c r="I223" i="1"/>
  <c r="I221" i="1"/>
  <c r="I220" i="1"/>
  <c r="I218" i="1"/>
  <c r="I216" i="1"/>
  <c r="I215" i="1"/>
  <c r="I209" i="1"/>
  <c r="I207" i="1"/>
  <c r="I206" i="1"/>
  <c r="I205" i="1"/>
  <c r="I204" i="1"/>
  <c r="I203" i="1"/>
  <c r="I202" i="1"/>
  <c r="I198" i="1"/>
  <c r="I197" i="1"/>
  <c r="H245" i="1"/>
  <c r="H244" i="1"/>
  <c r="H243" i="1"/>
  <c r="H242" i="1"/>
  <c r="H241" i="1"/>
  <c r="H240" i="1"/>
  <c r="H239" i="1"/>
  <c r="H238" i="1"/>
  <c r="H220" i="1"/>
  <c r="H236" i="1"/>
  <c r="H235" i="1"/>
  <c r="H234" i="1"/>
  <c r="H216" i="1"/>
  <c r="H233" i="1"/>
  <c r="H227" i="1"/>
  <c r="H226" i="1"/>
  <c r="H225" i="1"/>
  <c r="H224" i="1"/>
  <c r="H223" i="1"/>
  <c r="H222" i="1"/>
  <c r="H221" i="1"/>
  <c r="H218" i="1"/>
  <c r="H215" i="1"/>
  <c r="H209" i="1"/>
  <c r="H208" i="1"/>
  <c r="H207" i="1"/>
  <c r="H204" i="1"/>
  <c r="H206" i="1"/>
  <c r="H205" i="1"/>
  <c r="H203" i="1"/>
  <c r="H202" i="1"/>
  <c r="H198" i="1"/>
  <c r="H197" i="1"/>
  <c r="G203" i="1" l="1"/>
  <c r="G239" i="1"/>
  <c r="G207" i="1"/>
  <c r="G243" i="1"/>
  <c r="G242" i="1"/>
  <c r="G241" i="1"/>
  <c r="G240" i="1"/>
  <c r="G238" i="1"/>
  <c r="G236" i="1"/>
  <c r="G234" i="1"/>
  <c r="G233" i="1"/>
  <c r="G198" i="1"/>
  <c r="G227" i="1"/>
  <c r="F225" i="1"/>
  <c r="G225" i="1"/>
  <c r="G224" i="1"/>
  <c r="G223" i="1"/>
  <c r="G222" i="1"/>
  <c r="G221" i="1"/>
  <c r="G220" i="1"/>
  <c r="G218" i="1"/>
  <c r="G216" i="1"/>
  <c r="G215" i="1"/>
  <c r="G209" i="1"/>
  <c r="G206" i="1"/>
  <c r="G205" i="1"/>
  <c r="G204" i="1"/>
  <c r="G202" i="1"/>
  <c r="G197" i="1"/>
  <c r="F222" i="1"/>
  <c r="F245" i="1"/>
  <c r="F243" i="1"/>
  <c r="F242" i="1"/>
  <c r="F241" i="1"/>
  <c r="F240" i="1"/>
  <c r="F239" i="1"/>
  <c r="F238" i="1"/>
  <c r="F236" i="1"/>
  <c r="F234" i="1"/>
  <c r="F233" i="1"/>
  <c r="F224" i="1"/>
  <c r="F223" i="1"/>
  <c r="F221" i="1"/>
  <c r="F220" i="1"/>
  <c r="F218" i="1"/>
  <c r="F216" i="1"/>
  <c r="F215" i="1"/>
  <c r="F209" i="1"/>
  <c r="F207" i="1"/>
  <c r="F206" i="1"/>
  <c r="F205" i="1"/>
  <c r="F204" i="1"/>
  <c r="F203" i="1"/>
  <c r="F202" i="1"/>
  <c r="F198" i="1"/>
  <c r="F197" i="1"/>
  <c r="F110" i="1"/>
  <c r="F126" i="1"/>
  <c r="G473" i="1"/>
  <c r="G22" i="1" l="1"/>
  <c r="F12" i="1"/>
  <c r="H4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F461" i="1" s="1"/>
  <c r="H639" i="1" s="1"/>
  <c r="J639" i="1" s="1"/>
  <c r="G460" i="1"/>
  <c r="H460" i="1"/>
  <c r="G461" i="1"/>
  <c r="H461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H641" i="1"/>
  <c r="G643" i="1"/>
  <c r="H643" i="1"/>
  <c r="G644" i="1"/>
  <c r="H644" i="1"/>
  <c r="J644" i="1" s="1"/>
  <c r="G645" i="1"/>
  <c r="H645" i="1"/>
  <c r="G650" i="1"/>
  <c r="G652" i="1"/>
  <c r="H652" i="1"/>
  <c r="G653" i="1"/>
  <c r="H653" i="1"/>
  <c r="G654" i="1"/>
  <c r="H654" i="1"/>
  <c r="H655" i="1"/>
  <c r="F192" i="1"/>
  <c r="L256" i="1"/>
  <c r="C26" i="10"/>
  <c r="L351" i="1"/>
  <c r="A31" i="12"/>
  <c r="C70" i="2"/>
  <c r="D62" i="2"/>
  <c r="D63" i="2" s="1"/>
  <c r="D18" i="13"/>
  <c r="C18" i="13" s="1"/>
  <c r="D18" i="2"/>
  <c r="D17" i="13"/>
  <c r="C17" i="13" s="1"/>
  <c r="C91" i="2"/>
  <c r="F78" i="2"/>
  <c r="F81" i="2" s="1"/>
  <c r="F18" i="2"/>
  <c r="G156" i="2"/>
  <c r="E103" i="2"/>
  <c r="D91" i="2"/>
  <c r="G62" i="2"/>
  <c r="D19" i="13"/>
  <c r="C19" i="13" s="1"/>
  <c r="E78" i="2"/>
  <c r="L427" i="1"/>
  <c r="H112" i="1"/>
  <c r="J641" i="1"/>
  <c r="J571" i="1"/>
  <c r="K571" i="1"/>
  <c r="L433" i="1"/>
  <c r="L419" i="1"/>
  <c r="D81" i="2"/>
  <c r="I169" i="1"/>
  <c r="H169" i="1"/>
  <c r="J643" i="1"/>
  <c r="J140" i="1"/>
  <c r="G22" i="2"/>
  <c r="C29" i="10"/>
  <c r="H140" i="1"/>
  <c r="L393" i="1"/>
  <c r="F22" i="13"/>
  <c r="J640" i="1"/>
  <c r="L560" i="1"/>
  <c r="G192" i="1"/>
  <c r="H192" i="1"/>
  <c r="J655" i="1"/>
  <c r="J645" i="1"/>
  <c r="L570" i="1"/>
  <c r="I571" i="1"/>
  <c r="G36" i="2"/>
  <c r="C22" i="13"/>
  <c r="C138" i="2"/>
  <c r="A13" i="12" l="1"/>
  <c r="L614" i="1"/>
  <c r="J649" i="1"/>
  <c r="K598" i="1"/>
  <c r="G647" i="1" s="1"/>
  <c r="J651" i="1"/>
  <c r="L565" i="1"/>
  <c r="L571" i="1" s="1"/>
  <c r="L539" i="1"/>
  <c r="J552" i="1"/>
  <c r="L544" i="1"/>
  <c r="G545" i="1"/>
  <c r="J545" i="1"/>
  <c r="I545" i="1"/>
  <c r="K550" i="1"/>
  <c r="H545" i="1"/>
  <c r="K549" i="1"/>
  <c r="K551" i="1"/>
  <c r="H552" i="1"/>
  <c r="L534" i="1"/>
  <c r="L529" i="1"/>
  <c r="F552" i="1"/>
  <c r="L524" i="1"/>
  <c r="G161" i="2"/>
  <c r="K500" i="1"/>
  <c r="I460" i="1"/>
  <c r="I461" i="1" s="1"/>
  <c r="H642" i="1" s="1"/>
  <c r="J642" i="1" s="1"/>
  <c r="L382" i="1"/>
  <c r="G636" i="1" s="1"/>
  <c r="J636" i="1" s="1"/>
  <c r="G338" i="1"/>
  <c r="G352" i="1" s="1"/>
  <c r="L328" i="1"/>
  <c r="L309" i="1"/>
  <c r="E115" i="2"/>
  <c r="L290" i="1"/>
  <c r="F338" i="1"/>
  <c r="F352" i="1" s="1"/>
  <c r="J338" i="1"/>
  <c r="J352" i="1" s="1"/>
  <c r="E128" i="2"/>
  <c r="H338" i="1"/>
  <c r="H352" i="1" s="1"/>
  <c r="E81" i="2"/>
  <c r="I369" i="1"/>
  <c r="H634" i="1" s="1"/>
  <c r="J634" i="1" s="1"/>
  <c r="L362" i="1"/>
  <c r="C27" i="10" s="1"/>
  <c r="H661" i="1"/>
  <c r="F661" i="1"/>
  <c r="D29" i="13"/>
  <c r="C29" i="13" s="1"/>
  <c r="D127" i="2"/>
  <c r="D128" i="2" s="1"/>
  <c r="D145" i="2" s="1"/>
  <c r="G661" i="1"/>
  <c r="K257" i="1"/>
  <c r="K271" i="1" s="1"/>
  <c r="C25" i="10"/>
  <c r="H25" i="13"/>
  <c r="C25" i="13" s="1"/>
  <c r="J257" i="1"/>
  <c r="J271" i="1" s="1"/>
  <c r="C112" i="2"/>
  <c r="C21" i="10"/>
  <c r="H257" i="1"/>
  <c r="H271" i="1" s="1"/>
  <c r="D15" i="13"/>
  <c r="C15" i="13" s="1"/>
  <c r="C124" i="2"/>
  <c r="H647" i="1"/>
  <c r="J647" i="1" s="1"/>
  <c r="F662" i="1"/>
  <c r="I662" i="1" s="1"/>
  <c r="C20" i="10"/>
  <c r="C19" i="10"/>
  <c r="C121" i="2"/>
  <c r="D7" i="13"/>
  <c r="C7" i="13" s="1"/>
  <c r="C122" i="2"/>
  <c r="C15" i="10"/>
  <c r="C125" i="2"/>
  <c r="C13" i="10"/>
  <c r="G257" i="1"/>
  <c r="G271" i="1" s="1"/>
  <c r="E13" i="13"/>
  <c r="C13" i="13" s="1"/>
  <c r="E8" i="13"/>
  <c r="C8" i="13" s="1"/>
  <c r="D14" i="13"/>
  <c r="C14" i="13" s="1"/>
  <c r="C123" i="2"/>
  <c r="E16" i="13"/>
  <c r="C16" i="13" s="1"/>
  <c r="L247" i="1"/>
  <c r="H660" i="1" s="1"/>
  <c r="C18" i="10"/>
  <c r="F257" i="1"/>
  <c r="F271" i="1" s="1"/>
  <c r="L229" i="1"/>
  <c r="C11" i="10"/>
  <c r="C110" i="2"/>
  <c r="C17" i="10"/>
  <c r="D12" i="13"/>
  <c r="C12" i="13" s="1"/>
  <c r="C120" i="2"/>
  <c r="C16" i="10"/>
  <c r="C119" i="2"/>
  <c r="D6" i="13"/>
  <c r="C6" i="13" s="1"/>
  <c r="C118" i="2"/>
  <c r="D5" i="13"/>
  <c r="C5" i="13" s="1"/>
  <c r="C109" i="2"/>
  <c r="L211" i="1"/>
  <c r="C10" i="10"/>
  <c r="C81" i="2"/>
  <c r="C62" i="2"/>
  <c r="C63" i="2" s="1"/>
  <c r="C35" i="10"/>
  <c r="F112" i="1"/>
  <c r="D50" i="2"/>
  <c r="D51" i="2" s="1"/>
  <c r="J623" i="1"/>
  <c r="F476" i="1"/>
  <c r="H622" i="1" s="1"/>
  <c r="J622" i="1" s="1"/>
  <c r="J617" i="1"/>
  <c r="C18" i="2"/>
  <c r="G624" i="1"/>
  <c r="J624" i="1" s="1"/>
  <c r="I476" i="1"/>
  <c r="H625" i="1" s="1"/>
  <c r="J625" i="1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G50" i="2"/>
  <c r="G51" i="2" s="1"/>
  <c r="J652" i="1"/>
  <c r="G571" i="1"/>
  <c r="I434" i="1"/>
  <c r="G434" i="1"/>
  <c r="E104" i="2"/>
  <c r="I663" i="1"/>
  <c r="K552" i="1" l="1"/>
  <c r="L545" i="1"/>
  <c r="H646" i="1"/>
  <c r="I193" i="1"/>
  <c r="G630" i="1" s="1"/>
  <c r="J630" i="1" s="1"/>
  <c r="G660" i="1"/>
  <c r="D31" i="13"/>
  <c r="C31" i="13" s="1"/>
  <c r="E145" i="2"/>
  <c r="L338" i="1"/>
  <c r="L352" i="1" s="1"/>
  <c r="G633" i="1" s="1"/>
  <c r="J633" i="1" s="1"/>
  <c r="F660" i="1"/>
  <c r="G635" i="1"/>
  <c r="J635" i="1" s="1"/>
  <c r="H664" i="1"/>
  <c r="H672" i="1" s="1"/>
  <c r="C6" i="10" s="1"/>
  <c r="I661" i="1"/>
  <c r="G664" i="1"/>
  <c r="G672" i="1" s="1"/>
  <c r="C5" i="10" s="1"/>
  <c r="H33" i="13"/>
  <c r="H648" i="1"/>
  <c r="J648" i="1" s="1"/>
  <c r="E33" i="13"/>
  <c r="D35" i="13" s="1"/>
  <c r="C115" i="2"/>
  <c r="C28" i="10"/>
  <c r="D24" i="10" s="1"/>
  <c r="C128" i="2"/>
  <c r="L257" i="1"/>
  <c r="L271" i="1" s="1"/>
  <c r="G632" i="1" s="1"/>
  <c r="J632" i="1" s="1"/>
  <c r="F193" i="1"/>
  <c r="G627" i="1" s="1"/>
  <c r="J627" i="1" s="1"/>
  <c r="C104" i="2"/>
  <c r="C36" i="10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64" i="1"/>
  <c r="F672" i="1" s="1"/>
  <c r="C4" i="10" s="1"/>
  <c r="H667" i="1"/>
  <c r="G667" i="1"/>
  <c r="C145" i="2"/>
  <c r="D20" i="10"/>
  <c r="D25" i="10"/>
  <c r="D26" i="10"/>
  <c r="D16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H656" i="1"/>
  <c r="C41" i="10"/>
  <c r="D38" i="10" s="1"/>
  <c r="F667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<sst xmlns="http://schemas.openxmlformats.org/spreadsheetml/2006/main" count="3961" uniqueCount="919">
  <si>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</si>
  <si>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</si>
  <si>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</si>
  <si>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</si>
  <si>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</si>
  <si>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</si>
  <si>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</si>
  <si>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</si>
  <si>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</si>
  <si>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</si>
  <si>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</si>
  <si>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</si>
  <si>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</si>
  <si>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</si>
  <si>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</si>
  <si>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</si>
  <si>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</si>
  <si>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</si>
  <si>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</si>
  <si>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</si>
  <si>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</si>
  <si>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</si>
  <si>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</si>
  <si>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</si>
  <si>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</si>
  <si>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</si>
  <si>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</si>
  <si>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</si>
  <si>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</si>
  <si>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</si>
  <si>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</si>
  <si>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</si>
  <si>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</si>
  <si>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</si>
  <si>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</si>
  <si>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</si>
  <si>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</si>
  <si>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</si>
  <si>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</si>
  <si>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</si>
  <si>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</si>
  <si>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</si>
  <si>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</si>
  <si>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</si>
  <si>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</si>
  <si>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</si>
  <si>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</si>
  <si>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</si>
  <si>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</si>
  <si>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</si>
  <si>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</si>
  <si>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</si>
  <si>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</si>
  <si>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</si>
  <si>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</si>
  <si>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</si>
  <si>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</si>
  <si>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</si>
  <si>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</si>
  <si>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</si>
  <si>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</si>
  <si>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</si>
  <si>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</si>
  <si>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</si>
  <si>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</si>
  <si>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</si>
  <si>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</si>
  <si>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</si>
  <si>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</si>
  <si>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</si>
  <si>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</si>
  <si>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</si>
  <si>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</si>
  <si>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</si>
  <si>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</si>
  <si>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</si>
  <si>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</si>
  <si>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</si>
  <si>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</si>
  <si>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</si>
  <si>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</si>
  <si>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</si>
  <si>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</si>
  <si>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</si>
  <si>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</si>
  <si>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</si>
  <si>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</si>
  <si>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</si>
  <si>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</si>
  <si>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</si>
  <si>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</si>
  <si>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</si>
  <si>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</si>
  <si>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</si>
  <si>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</si>
  <si>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</si>
  <si>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</si>
  <si>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</si>
  <si>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</si>
  <si>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</si>
  <si>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</si>
  <si>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</si>
  <si>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</si>
  <si>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</si>
  <si>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</si>
  <si>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</si>
  <si>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</si>
  <si>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</si>
  <si>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</si>
  <si>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</si>
  <si>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</si>
  <si>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</si>
  <si>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</si>
  <si>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</si>
  <si>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</si>
  <si>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</si>
  <si>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</si>
  <si>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</si>
  <si>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</si>
  <si>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</si>
  <si>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</si>
  <si>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</si>
  <si>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</si>
  <si>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</si>
  <si>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</si>
  <si>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</si>
  <si>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</si>
  <si>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</si>
  <si>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</si>
  <si>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</si>
  <si>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</si>
  <si>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</si>
  <si>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</si>
  <si>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</si>
  <si>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</si>
  <si>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</si>
  <si>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</si>
  <si>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</si>
  <si>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</si>
  <si>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</si>
  <si>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</si>
  <si>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</si>
  <si>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</si>
  <si>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</si>
  <si>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</si>
  <si>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</si>
  <si>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</si>
  <si>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</si>
  <si>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</si>
  <si>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</si>
  <si>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</si>
  <si>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</si>
  <si>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</si>
  <si>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</si>
  <si>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</si>
  <si>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</si>
  <si>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</si>
  <si>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</si>
  <si>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</si>
  <si>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</si>
  <si>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</si>
  <si>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</si>
  <si>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</si>
  <si>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</si>
  <si>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</si>
  <si>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</si>
  <si>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</si>
  <si>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</si>
  <si>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</si>
  <si>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</si>
  <si>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</si>
  <si>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</si>
  <si>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</si>
  <si>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</si>
  <si>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</si>
  <si>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</si>
  <si>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</si>
  <si>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</si>
  <si>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</si>
  <si>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</si>
  <si>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</si>
  <si>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</si>
  <si>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</si>
  <si>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</si>
  <si>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</si>
  <si>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</si>
  <si>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</si>
  <si>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</si>
  <si>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</si>
  <si>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</si>
  <si>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</si>
  <si>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</si>
  <si>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</si>
  <si>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</si>
  <si>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</si>
  <si>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</si>
  <si>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</si>
  <si>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</si>
  <si>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</si>
  <si>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</si>
  <si>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</si>
  <si>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</si>
  <si>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</si>
  <si>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</si>
  <si>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</si>
  <si>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</si>
  <si>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</si>
  <si>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</si>
  <si>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</si>
  <si>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</si>
  <si>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</si>
  <si>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</si>
  <si>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</si>
  <si>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</si>
  <si>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</si>
  <si>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</si>
  <si>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</si>
  <si>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</si>
  <si>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</si>
  <si>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</si>
  <si>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</si>
  <si>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</si>
  <si>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</si>
  <si>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</si>
  <si>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</si>
  <si>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</si>
  <si>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</si>
  <si>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</si>
  <si>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</si>
  <si>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</si>
  <si>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</si>
  <si>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</si>
  <si>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</si>
  <si>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</si>
  <si>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</si>
  <si>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</si>
  <si>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</si>
  <si>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</si>
  <si>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</si>
  <si>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</si>
  <si>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</si>
  <si>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</si>
  <si>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</si>
  <si>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</si>
  <si>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</si>
  <si>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</si>
  <si>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</si>
  <si>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</si>
  <si>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</si>
  <si>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</si>
  <si>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</si>
  <si>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</si>
  <si>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</si>
  <si>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</si>
  <si>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</si>
  <si>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</si>
  <si>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</si>
  <si>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</si>
  <si>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</si>
  <si>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</si>
  <si>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</si>
  <si>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</si>
  <si>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</si>
  <si>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</si>
  <si>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</si>
  <si>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</si>
  <si>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</si>
  <si>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</si>
  <si>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</si>
  <si>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</si>
  <si>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</si>
  <si>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</si>
  <si>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</si>
  <si>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</si>
  <si>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</si>
  <si>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</si>
  <si>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</si>
  <si>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</si>
  <si>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</si>
  <si>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</si>
  <si>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</si>
  <si>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</si>
  <si>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</si>
  <si>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</si>
  <si>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</si>
  <si>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</si>
  <si>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</si>
  <si>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</si>
  <si>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</si>
  <si>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</si>
  <si>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</si>
  <si>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</si>
  <si>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</si>
  <si>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</si>
  <si>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</si>
  <si>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</si>
  <si>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</si>
  <si>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</si>
  <si>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</si>
  <si>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</si>
  <si>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</si>
  <si>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</si>
  <si>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</si>
  <si>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</si>
  <si>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</si>
  <si>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</si>
  <si>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</si>
  <si>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</si>
  <si>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</si>
  <si>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</si>
  <si>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</si>
  <si>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</si>
  <si>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</si>
  <si>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</si>
  <si>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</si>
  <si>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</si>
  <si>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</si>
  <si>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</si>
  <si>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</si>
  <si>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</si>
  <si>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</si>
  <si>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</si>
  <si>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</si>
  <si>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</si>
  <si>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</si>
  <si>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</si>
  <si>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</si>
  <si>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</si>
  <si>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</si>
  <si>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</si>
  <si>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</si>
  <si>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</si>
  <si>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</si>
  <si>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</si>
  <si>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</si>
  <si>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</si>
  <si>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</si>
  <si>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</si>
  <si>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</si>
  <si>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</si>
  <si>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</si>
  <si>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</si>
  <si>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</si>
  <si>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</si>
  <si>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</si>
  <si>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</si>
  <si>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</si>
  <si>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</si>
  <si>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</si>
  <si>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</si>
  <si>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</si>
  <si>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</si>
  <si>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</si>
  <si>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</si>
  <si>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</si>
  <si>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</si>
  <si>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</si>
  <si>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</si>
  <si>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</si>
  <si>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</si>
  <si>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</si>
  <si>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</si>
  <si>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</si>
  <si>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</si>
  <si>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</si>
  <si>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</si>
  <si>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</si>
  <si>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</si>
  <si>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</si>
  <si>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</si>
  <si>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</si>
  <si>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</si>
  <si>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</si>
  <si>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</si>
  <si>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</si>
  <si>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</si>
  <si>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</si>
  <si>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</si>
  <si>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</si>
  <si>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</si>
  <si>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</si>
  <si>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</si>
  <si>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</si>
  <si>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</si>
  <si>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</si>
  <si>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</si>
  <si>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</si>
  <si>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</si>
  <si>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</si>
  <si>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</si>
  <si>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</si>
  <si>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</si>
  <si>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</si>
  <si>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</si>
  <si>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</si>
  <si>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</si>
  <si>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</si>
  <si>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</si>
  <si>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</si>
  <si>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</si>
  <si>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</si>
  <si>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</si>
  <si>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</si>
  <si>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</si>
  <si>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</si>
  <si>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</si>
  <si>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</si>
  <si>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</si>
  <si>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</si>
  <si>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</si>
  <si>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</si>
  <si>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</si>
  <si>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</si>
  <si>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</si>
  <si>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</si>
  <si>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</si>
  <si>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</si>
  <si>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</si>
  <si>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</si>
  <si>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</si>
  <si>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</si>
  <si>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</si>
  <si>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</si>
  <si>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</si>
  <si>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</si>
  <si>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</si>
  <si>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</si>
  <si>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</si>
  <si>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</si>
  <si>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</si>
  <si>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</si>
  <si>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</si>
  <si>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</si>
  <si>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</si>
  <si>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</si>
  <si>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</si>
  <si>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</si>
  <si>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</si>
  <si>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</si>
  <si>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</si>
  <si>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</si>
  <si>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</si>
  <si>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</si>
  <si>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</si>
  <si>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</si>
  <si>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</si>
  <si>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</si>
  <si>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</si>
  <si>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</si>
  <si>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</si>
  <si>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</si>
  <si>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</si>
  <si>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</si>
  <si>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</si>
  <si>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</si>
  <si>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</si>
  <si>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</si>
  <si>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</si>
  <si>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</si>
  <si>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</si>
  <si>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</si>
  <si>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</si>
  <si>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</si>
  <si>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</si>
  <si>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</si>
  <si>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</si>
  <si>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</si>
  <si>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</si>
  <si>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</si>
  <si>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</si>
  <si>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</si>
  <si>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</si>
  <si>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</si>
  <si>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</si>
  <si>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</si>
  <si>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</si>
  <si>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</si>
  <si>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</si>
  <si>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</si>
  <si>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</si>
  <si>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</si>
  <si>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</si>
  <si>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</si>
  <si>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</si>
  <si>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</si>
  <si>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</si>
  <si>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</si>
  <si>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</si>
  <si>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</si>
  <si>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</si>
  <si>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</si>
  <si>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</si>
  <si>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</si>
  <si>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</si>
  <si>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</si>
  <si>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</si>
  <si>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</si>
  <si>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</si>
  <si>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</si>
  <si>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</si>
  <si>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</si>
  <si>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</si>
  <si>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</si>
  <si>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</si>
  <si>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</si>
  <si>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</si>
  <si>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</si>
  <si>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</si>
  <si>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</si>
  <si>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</si>
  <si>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</si>
  <si>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</si>
  <si>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</si>
  <si>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</si>
  <si>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</si>
  <si>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</si>
  <si>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</si>
  <si>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</si>
  <si>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</si>
  <si>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</si>
  <si>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</si>
  <si>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</si>
  <si>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</si>
  <si>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</si>
  <si>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</si>
  <si>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</si>
  <si>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</si>
  <si>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</si>
  <si>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</si>
  <si>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</si>
  <si>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</si>
  <si>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</si>
  <si>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</si>
  <si>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</si>
  <si>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</si>
  <si>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</si>
  <si>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</si>
  <si>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</si>
  <si>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</si>
  <si>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</si>
  <si>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</si>
  <si>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</si>
  <si>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</si>
  <si>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</si>
  <si>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</si>
  <si>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</si>
  <si>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</si>
  <si>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</si>
  <si>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</si>
  <si>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</si>
  <si>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</si>
  <si>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</si>
  <si>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</si>
  <si>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</si>
  <si>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</si>
  <si>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</si>
  <si>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</si>
  <si>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</si>
  <si>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</si>
  <si>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</si>
  <si>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</si>
  <si>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</si>
  <si>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</si>
  <si>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</si>
  <si>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</si>
  <si>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</si>
  <si>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</si>
  <si>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</si>
  <si>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</si>
  <si>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</si>
  <si>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</si>
  <si>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</si>
  <si>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</si>
  <si>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</si>
  <si>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</si>
  <si>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</si>
  <si>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</si>
  <si>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</si>
  <si>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</si>
  <si>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</si>
  <si>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</si>
  <si>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</si>
  <si>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</si>
  <si>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</si>
  <si>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</si>
  <si>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</si>
  <si>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</si>
  <si>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</si>
  <si>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</si>
  <si>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</si>
  <si>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</si>
  <si>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</si>
  <si>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</si>
  <si>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</si>
  <si>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</si>
  <si>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</si>
  <si>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</si>
  <si>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</si>
  <si>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</si>
  <si>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</si>
  <si>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</si>
  <si>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</si>
  <si>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</si>
  <si>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</si>
  <si>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</si>
  <si>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</si>
  <si>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</si>
  <si>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</si>
  <si>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</si>
  <si>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</si>
  <si>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</si>
  <si>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</si>
  <si>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</si>
  <si>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</si>
  <si>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</si>
  <si>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</si>
  <si>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</si>
  <si>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</si>
  <si>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</si>
  <si>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</si>
  <si>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</si>
  <si>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</si>
  <si>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</si>
  <si>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</si>
  <si>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</si>
  <si>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</si>
  <si>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</si>
  <si>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</si>
  <si>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</si>
  <si>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</si>
  <si>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</si>
  <si>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</si>
  <si>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</si>
  <si>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</si>
  <si>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</si>
  <si>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</si>
  <si>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</si>
  <si>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</si>
  <si>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</si>
  <si>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</si>
  <si>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</si>
  <si>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</si>
  <si>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</si>
  <si>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</si>
  <si>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</si>
  <si>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</si>
  <si>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</si>
  <si>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</si>
  <si>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</si>
  <si>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</si>
  <si>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</si>
  <si>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</si>
  <si>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</si>
  <si>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</si>
  <si>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</si>
  <si>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</si>
  <si>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</si>
  <si>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</si>
  <si>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</si>
  <si>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</si>
  <si>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</si>
  <si>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</si>
  <si>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</si>
  <si>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</si>
  <si>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</si>
  <si>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</si>
  <si>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</si>
  <si>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</si>
  <si>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</si>
  <si>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</si>
  <si>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</si>
  <si>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</si>
  <si>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</si>
  <si>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</si>
  <si>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</si>
  <si>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</si>
  <si>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</si>
  <si>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</si>
  <si>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</si>
  <si>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</si>
  <si>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</si>
  <si>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</si>
  <si>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</si>
  <si>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</si>
  <si>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</si>
  <si>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</si>
  <si>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</si>
  <si>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</si>
  <si>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</si>
  <si>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</si>
  <si>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</si>
  <si>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</si>
  <si>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</si>
  <si>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</si>
  <si>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</si>
  <si>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</si>
  <si>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</si>
  <si>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</si>
  <si>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</si>
  <si>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</si>
  <si>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</si>
  <si>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</si>
  <si>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</si>
  <si>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</si>
  <si>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</si>
  <si>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</si>
  <si>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</si>
  <si>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</si>
  <si>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</si>
  <si>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</si>
  <si>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</si>
  <si>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</si>
  <si>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</si>
  <si>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</si>
  <si>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</si>
  <si>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</si>
  <si>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</si>
  <si>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</si>
  <si>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</si>
  <si>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</si>
  <si>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</si>
  <si>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</si>
  <si>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</si>
  <si>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</si>
  <si>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</si>
  <si>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</si>
  <si>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</si>
  <si>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</si>
  <si>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</si>
  <si>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</si>
  <si>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</si>
  <si>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</si>
  <si>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</si>
  <si>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</si>
  <si>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</si>
  <si>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</si>
  <si>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</si>
  <si>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</si>
  <si>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</si>
  <si>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</si>
  <si>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</si>
  <si>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</si>
  <si>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</si>
  <si>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</si>
  <si>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</si>
  <si>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</si>
  <si>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</si>
  <si>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</si>
  <si>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</si>
  <si>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</si>
  <si>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</si>
  <si>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</si>
  <si>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</si>
  <si>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</si>
  <si>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</si>
  <si>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</si>
  <si>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</si>
  <si>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</si>
  <si>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</si>
  <si>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</si>
  <si>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</si>
  <si>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</si>
  <si>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</si>
  <si>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</si>
  <si>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</si>
  <si>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</si>
  <si>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</si>
  <si>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</si>
  <si>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</si>
  <si>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</si>
  <si>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</si>
  <si>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</si>
  <si>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</si>
  <si>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</si>
  <si>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</si>
  <si>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</si>
  <si>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</si>
  <si>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</si>
  <si>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</si>
  <si>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</si>
  <si>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</si>
  <si>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</si>
  <si>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</si>
  <si>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</si>
  <si>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</si>
  <si>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</si>
  <si>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</si>
  <si>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</si>
  <si>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</si>
  <si>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</si>
  <si>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</si>
  <si>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</si>
  <si>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</si>
  <si>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</si>
  <si>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</si>
  <si>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</si>
  <si>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</si>
  <si>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</si>
  <si>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</si>
  <si>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</si>
  <si>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</si>
  <si>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</si>
  <si>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</si>
  <si>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</si>
  <si>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</si>
  <si>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</si>
  <si>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</si>
  <si>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</si>
  <si>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</si>
  <si>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</si>
  <si>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</si>
  <si>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</si>
  <si>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</si>
  <si>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</si>
  <si>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</si>
  <si>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</si>
  <si>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</si>
  <si>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</si>
  <si>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</si>
  <si>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</si>
  <si>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</si>
  <si>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</si>
  <si>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</si>
  <si>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</si>
  <si>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</si>
  <si>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</si>
  <si>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</si>
  <si>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</si>
  <si>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</si>
  <si>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</si>
  <si>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</si>
  <si>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</si>
  <si>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</si>
  <si>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</si>
  <si>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</si>
  <si>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</si>
  <si>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</si>
  <si>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</si>
  <si>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</si>
  <si>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</si>
  <si>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</si>
  <si>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</si>
  <si>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</si>
  <si>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</si>
  <si>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</si>
  <si>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</si>
  <si>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</si>
  <si>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</si>
  <si>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</si>
  <si>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</si>
  <si>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</si>
  <si>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</si>
  <si>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</si>
  <si>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</si>
  <si>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</si>
  <si>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</si>
  <si>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</si>
  <si>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</si>
  <si>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</si>
  <si>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</si>
  <si>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</si>
  <si>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</si>
  <si>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</si>
  <si>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</si>
  <si>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</si>
  <si>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</si>
  <si>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</si>
  <si>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</si>
  <si>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</si>
  <si>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</si>
  <si>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</si>
  <si>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</si>
  <si>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</si>
  <si>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</si>
  <si>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</si>
  <si>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</si>
  <si>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</si>
  <si>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</si>
  <si>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</si>
  <si>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</si>
  <si>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</si>
  <si>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</si>
  <si>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</si>
  <si>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</si>
  <si>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</si>
  <si>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</si>
  <si>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</si>
  <si>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</si>
  <si>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</si>
  <si>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</si>
  <si>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</si>
  <si>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</si>
  <si>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</si>
  <si>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</si>
  <si>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</si>
  <si>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</si>
  <si>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</si>
  <si>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</si>
  <si>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</si>
  <si>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</si>
  <si>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</si>
  <si>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</si>
  <si>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</si>
  <si>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</si>
  <si>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</si>
  <si>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</si>
  <si>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</si>
  <si>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</si>
  <si>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</si>
  <si>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</si>
  <si>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</si>
  <si>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Wilton-Lyndeborough Cooperative School District</t>
  </si>
  <si>
    <t xml:space="preserve">  FUND 30 - PY Payable adjustment</t>
  </si>
  <si>
    <t>08/19</t>
  </si>
  <si>
    <t>07/99</t>
  </si>
  <si>
    <t>07/14</t>
  </si>
  <si>
    <t>08/34</t>
  </si>
  <si>
    <t xml:space="preserve">  FUND 21 - PY Loss not transferred</t>
  </si>
  <si>
    <t xml:space="preserve">  FUND 10 - PY Encumb adjust and FS Loss not 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</si>
</sst>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911</v>
      </c>
      <c r="B2" s="21">
        <v>572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459187.05</v>
      </c>
      <c r="G9" s="18">
        <v>19613.46</v>
      </c>
      <c r="H9" s="18"/>
      <c r="I9" s="18">
        <v>4190046.25</v>
      </c>
      <c r="J9" s="67">
        <f>SUM(I439)</f>
        <v>486822.66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120749.88</f>
        <v>120749.88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19287.18</v>
      </c>
      <c r="G13" s="18">
        <v>2898.35</v>
      </c>
      <c r="H13" s="18">
        <v>27343.11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29168.85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5481.68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2727.7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631120.65999999992</v>
      </c>
      <c r="G19" s="41">
        <f>SUM(G9:G18)</f>
        <v>27993.489999999998</v>
      </c>
      <c r="H19" s="41">
        <f>SUM(H9:H18)</f>
        <v>27343.11</v>
      </c>
      <c r="I19" s="41">
        <f>SUM(I9:I18)</f>
        <v>4190046.25</v>
      </c>
      <c r="J19" s="41">
        <f>SUM(J9:J18)</f>
        <v>486822.66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61073.7</f>
        <v>61073.7</v>
      </c>
      <c r="H22" s="18">
        <v>24409.67</v>
      </c>
      <c r="I22" s="18">
        <v>35266.51</v>
      </c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50458.12*2-10385.68+19287.18+29168.85-542.83</f>
        <v>138443.76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>
        <v>9150.93</v>
      </c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17542.64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1669.13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3568.33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157655.53000000003</v>
      </c>
      <c r="G32" s="41">
        <f>SUM(G22:G31)</f>
        <v>64642.03</v>
      </c>
      <c r="H32" s="41">
        <f>SUM(H22:H31)</f>
        <v>24409.67</v>
      </c>
      <c r="I32" s="41">
        <f>SUM(I22:I31)</f>
        <v>44417.440000000002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5481.68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486822.66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-42130.22</v>
      </c>
      <c r="H48" s="18">
        <f>2484.08+449.36</f>
        <v>2933.44</v>
      </c>
      <c r="I48" s="18">
        <v>4145628.81</v>
      </c>
      <c r="J48" s="13">
        <f>SUM(I459)</f>
        <v>0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80670.19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392794.94-7500</f>
        <v>385294.94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473465.13</v>
      </c>
      <c r="G51" s="41">
        <f>SUM(G35:G50)</f>
        <v>-36648.54</v>
      </c>
      <c r="H51" s="41">
        <f>SUM(H35:H50)</f>
        <v>2933.44</v>
      </c>
      <c r="I51" s="41">
        <f>SUM(I35:I50)</f>
        <v>4145628.81</v>
      </c>
      <c r="J51" s="41">
        <f>SUM(J35:J50)</f>
        <v>486822.66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631120.66</v>
      </c>
      <c r="G52" s="41">
        <f>G51+G32</f>
        <v>27993.489999999998</v>
      </c>
      <c r="H52" s="41">
        <f>H51+H32</f>
        <v>27343.109999999997</v>
      </c>
      <c r="I52" s="41">
        <f>I51+I32</f>
        <v>4190046.25</v>
      </c>
      <c r="J52" s="41">
        <f>J51+J32</f>
        <v>486822.66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8013354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8013354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6675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6675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7009.51</v>
      </c>
      <c r="G96" s="18"/>
      <c r="H96" s="18"/>
      <c r="I96" s="18"/>
      <c r="J96" s="18">
        <v>1185.48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69004.55+5424.9+6428+18531.84+152.54+663.16</f>
        <v>100204.98999999999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4000</f>
        <v>4000</v>
      </c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31386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246.05-0.01</f>
        <v>246.04000000000002</v>
      </c>
      <c r="G110" s="18"/>
      <c r="H110" s="18"/>
      <c r="I110" s="18"/>
      <c r="J110" s="18">
        <v>131.03</v>
      </c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38841.550000000003</v>
      </c>
      <c r="G111" s="41">
        <f>SUM(G96:G110)</f>
        <v>100204.98999999999</v>
      </c>
      <c r="H111" s="41">
        <f>SUM(H96:H110)</f>
        <v>4000</v>
      </c>
      <c r="I111" s="41">
        <f>SUM(I96:I110)</f>
        <v>0</v>
      </c>
      <c r="J111" s="41">
        <f>SUM(J96:J110)</f>
        <v>1316.51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8058870.5499999998</v>
      </c>
      <c r="G112" s="41">
        <f>G60+G111</f>
        <v>100204.98999999999</v>
      </c>
      <c r="H112" s="41">
        <f>H60+H79+H94+H111</f>
        <v>4000</v>
      </c>
      <c r="I112" s="41">
        <f>I60+I111</f>
        <v>0</v>
      </c>
      <c r="J112" s="41">
        <f>J60+J111</f>
        <v>1316.51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1397861.98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1209642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>
        <f>2700</f>
        <v>2700</v>
      </c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2607503.98</v>
      </c>
      <c r="G121" s="41">
        <f>SUM(G117:G120)</f>
        <v>0</v>
      </c>
      <c r="H121" s="41">
        <f>SUM(H117:H120)</f>
        <v>2700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f>135769.41+0.01</f>
        <v>135769.42000000001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3501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2437.05+364.74</f>
        <v>2801.79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269270.42000000004</v>
      </c>
      <c r="G136" s="41">
        <f>SUM(G123:G135)</f>
        <v>2801.79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2876774.3999999999</v>
      </c>
      <c r="G140" s="41">
        <f>G121+SUM(G136:G137)</f>
        <v>2801.79</v>
      </c>
      <c r="H140" s="41">
        <f>H121+SUM(H136:H139)</f>
        <v>2700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9060.6</v>
      </c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12817.05+104975.87</f>
        <v>117792.92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1563+7727.16+5000+2913+47167.94</f>
        <v>64371.100000000006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59334.16+17322.44+566.29</f>
        <v>77222.89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2351.04+138395.96</f>
        <v>140747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96752.13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f>10962.13</f>
        <v>10962.13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96752.13</v>
      </c>
      <c r="G162" s="41">
        <f>SUM(G150:G161)</f>
        <v>88185.02</v>
      </c>
      <c r="H162" s="41">
        <f>SUM(H150:H161)</f>
        <v>331971.62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96752.13</v>
      </c>
      <c r="G169" s="41">
        <f>G147+G162+SUM(G163:G168)</f>
        <v>88185.02</v>
      </c>
      <c r="H169" s="41">
        <f>H147+H162+SUM(H163:H168)</f>
        <v>331971.62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f>7640000</f>
        <v>7640000</v>
      </c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f>610000+20000+665.97</f>
        <v>630665.97</v>
      </c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8270665.9699999997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39801.919999999998</v>
      </c>
      <c r="H179" s="18"/>
      <c r="I179" s="18"/>
      <c r="J179" s="18"/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39801.919999999998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21500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21500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21500</v>
      </c>
      <c r="G192" s="41">
        <f>G183+SUM(G188:G191)</f>
        <v>39801.919999999998</v>
      </c>
      <c r="H192" s="41">
        <f>+H183+SUM(H188:H191)</f>
        <v>0</v>
      </c>
      <c r="I192" s="41">
        <f>I177+I183+SUM(I188:I191)</f>
        <v>8270665.9699999997</v>
      </c>
      <c r="J192" s="41">
        <f>J183</f>
        <v>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11053897.08</v>
      </c>
      <c r="G193" s="47">
        <f>G112+G140+G169+G192</f>
        <v>230993.71999999997</v>
      </c>
      <c r="H193" s="47">
        <f>H112+H140+H169+H192</f>
        <v>338671.62</v>
      </c>
      <c r="I193" s="47">
        <f>I112+I140+I169+I192</f>
        <v>8270665.9699999997</v>
      </c>
      <c r="J193" s="47">
        <f>J112+J140+J192</f>
        <v>1316.51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821641.55+380322.23+43514.37+17598.47+19272.5+10660</f>
        <v>1293009.1200000001</v>
      </c>
      <c r="G197" s="18">
        <f>413455.53+143486.33+8998.18+3220.26+1989.19+966.4+31.21+15.29</f>
        <v>572162.39</v>
      </c>
      <c r="H197" s="18">
        <f>4671.22+7629.35+954.89+9000.88</f>
        <v>22256.339999999997</v>
      </c>
      <c r="I197" s="18">
        <f>44443.96+8159.93+22020.7+3580.85</f>
        <v>78205.440000000002</v>
      </c>
      <c r="J197" s="18">
        <f>2707.4+1679.46+618.03</f>
        <v>5004.8900000000003</v>
      </c>
      <c r="K197" s="18">
        <f>297.05+17.1</f>
        <v>314.15000000000003</v>
      </c>
      <c r="L197" s="19">
        <f>SUM(F197:K197)</f>
        <v>1970952.33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208321+28550+117647.24+70294.3+14213.67+1344.24+2741.67</f>
        <v>443112.11999999994</v>
      </c>
      <c r="G198" s="18">
        <f>97756.86+8119.58+23075.57+13939.97+2128.9+180.54+209.7</f>
        <v>145411.12000000002</v>
      </c>
      <c r="H198" s="18">
        <f>10785+1581.31+437.8+415.33</f>
        <v>13219.439999999999</v>
      </c>
      <c r="I198" s="18">
        <f>3228.56+819.17</f>
        <v>4047.73</v>
      </c>
      <c r="J198" s="18">
        <f>1601.04+467.22</f>
        <v>2068.2600000000002</v>
      </c>
      <c r="K198" s="18">
        <f>(7226.72+1570.8)*0.47</f>
        <v>4134.8343999999997</v>
      </c>
      <c r="L198" s="19">
        <f>SUM(F198:K198)</f>
        <v>611993.50439999998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25710+30875+45050+34752+228538.42*0.47</f>
        <v>243800.05739999999</v>
      </c>
      <c r="G202" s="18">
        <f>6199.03+2569.56+30369.06+7489.39+91704.2*0.47</f>
        <v>89728.013999999996</v>
      </c>
      <c r="H202" s="18">
        <f>2253+780.5+594.5+184.5+170+96.55+2750+1500+1358+476+6153.6*0.47+53881+12429+8580+42020+13200+15356.17+4270.47</f>
        <v>162791.88200000001</v>
      </c>
      <c r="I202" s="18">
        <f>157.77+291.87+2035.66+293+712.16+315+507.61*0.47+500+964.13*0.47</f>
        <v>4997.1778000000004</v>
      </c>
      <c r="J202" s="18">
        <f>194.25*0.47+369</f>
        <v>460.29750000000001</v>
      </c>
      <c r="K202" s="18">
        <f>129+340+145</f>
        <v>614</v>
      </c>
      <c r="L202" s="19">
        <f t="shared" ref="L202:L208" si="0">SUM(F202:K202)</f>
        <v>502391.42869999999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7634.45+7518.67+62577*0.47</f>
        <v>44564.31</v>
      </c>
      <c r="G203" s="18">
        <f>11030.6+1361.36+876.59+737.35+28796.2*0.47+10468*0.47+939</f>
        <v>33399.074000000001</v>
      </c>
      <c r="H203" s="18">
        <f>1141.94*0.47</f>
        <v>536.71180000000004</v>
      </c>
      <c r="I203" s="18">
        <f>2133.34+529+2011.59</f>
        <v>4673.93</v>
      </c>
      <c r="J203" s="18">
        <f>209.62</f>
        <v>209.62</v>
      </c>
      <c r="K203" s="18"/>
      <c r="L203" s="19">
        <f t="shared" si="0"/>
        <v>83383.645799999998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125*2+500*2+875*2+62.5*2+153028.42*0.47+110882.9*0.47</f>
        <v>127163.3204</v>
      </c>
      <c r="G204" s="18">
        <f>9.55+9.6+89.96+90.06+66.96+66.88+50960.34*0.47+61024.37*0.47</f>
        <v>52965.823699999994</v>
      </c>
      <c r="H204" s="18">
        <f>1024.8+460.23+1855.4+1756+(12304.43+319.44+19313.86+813.74)*0.47</f>
        <v>20489.620900000002</v>
      </c>
      <c r="I204" s="18">
        <f>60.09+64.59+(1554.7+260.86+625.99)*0.47</f>
        <v>1272.2085000000002</v>
      </c>
      <c r="J204" s="18"/>
      <c r="K204" s="18">
        <f>1280.99+896.3+(1697.95+125)*0.47</f>
        <v>3034.0765000000001</v>
      </c>
      <c r="L204" s="19">
        <f t="shared" si="0"/>
        <v>204925.05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62832+26928+45966.64+27769.84</f>
        <v>163496.48000000001</v>
      </c>
      <c r="G205" s="18">
        <f>30360.52+14333.54+10872.84+20070.33</f>
        <v>75637.23</v>
      </c>
      <c r="H205" s="18">
        <f>4636+2662+17737.87+7313.69</f>
        <v>32349.559999999998</v>
      </c>
      <c r="I205" s="18">
        <f>4622.44+932.4+1853.12+399.6+44.5</f>
        <v>7852.0599999999995</v>
      </c>
      <c r="J205" s="18">
        <f>1023.53</f>
        <v>1023.53</v>
      </c>
      <c r="K205" s="18">
        <f>750+1084.5+1002.24</f>
        <v>2836.74</v>
      </c>
      <c r="L205" s="19">
        <f t="shared" si="0"/>
        <v>283195.60000000003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161646.15*0.47</f>
        <v>75973.690499999997</v>
      </c>
      <c r="G206" s="18">
        <f>76997.65*0.47</f>
        <v>36188.895499999999</v>
      </c>
      <c r="H206" s="18">
        <f>7267.38*0.47+769.48*0.47</f>
        <v>3777.3242</v>
      </c>
      <c r="I206" s="18">
        <f>21430.38*0.47</f>
        <v>10072.2786</v>
      </c>
      <c r="J206" s="18">
        <f>132.18*0.47</f>
        <v>62.124600000000001</v>
      </c>
      <c r="K206" s="18">
        <f>16793.58*0.47</f>
        <v>7892.9826000000003</v>
      </c>
      <c r="L206" s="19">
        <f t="shared" si="0"/>
        <v>133967.296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56025*0.47+90776.19+10000.33</f>
        <v>127108.27</v>
      </c>
      <c r="G207" s="18">
        <f>33540.51*0.47+36111.93+888.47</f>
        <v>52764.439700000003</v>
      </c>
      <c r="H207" s="18">
        <f>(1680+480+26181.98)*0.47+2208+96+30093.06+204.5+24105.05+4115.63+1854.05+4001*0.47+4054+1066</f>
        <v>82997.490600000005</v>
      </c>
      <c r="I207" s="18">
        <f>1532.7*0.47+73260.7+25898.98+1948.88+577.26</f>
        <v>102406.189</v>
      </c>
      <c r="J207" s="18">
        <f>173.54*2+379</f>
        <v>726.07999999999993</v>
      </c>
      <c r="K207" s="18"/>
      <c r="L207" s="19">
        <f t="shared" si="0"/>
        <v>366002.46930000006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209318+13292.4+9143.37+2077.55+3323.51</f>
        <v>237154.83</v>
      </c>
      <c r="I208" s="18"/>
      <c r="J208" s="18"/>
      <c r="K208" s="18"/>
      <c r="L208" s="19">
        <f t="shared" si="0"/>
        <v>237154.83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28692.86+19128.74</f>
        <v>47821.600000000006</v>
      </c>
      <c r="G209" s="18">
        <f>14295.78+9530.76</f>
        <v>23826.54</v>
      </c>
      <c r="H209" s="18">
        <f>1800+2316.97+1100+1831.73+302.8+(77389.74+182.85)*0.47</f>
        <v>43810.617300000005</v>
      </c>
      <c r="I209" s="18">
        <f>1195*0.47+795.98+239.97+913.69+49.95</f>
        <v>2561.2399999999998</v>
      </c>
      <c r="J209" s="18">
        <f>10800+14942.55</f>
        <v>25742.55</v>
      </c>
      <c r="K209" s="18"/>
      <c r="L209" s="19">
        <f>SUM(F209:K209)</f>
        <v>143762.54730000003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2566048.9683000003</v>
      </c>
      <c r="G211" s="41">
        <f t="shared" si="1"/>
        <v>1082083.5268999999</v>
      </c>
      <c r="H211" s="41">
        <f t="shared" si="1"/>
        <v>619383.81680000003</v>
      </c>
      <c r="I211" s="41">
        <f t="shared" si="1"/>
        <v>216088.25390000001</v>
      </c>
      <c r="J211" s="41">
        <f t="shared" si="1"/>
        <v>35297.352099999996</v>
      </c>
      <c r="K211" s="41">
        <f t="shared" si="1"/>
        <v>18826.783499999998</v>
      </c>
      <c r="L211" s="41">
        <f t="shared" si="1"/>
        <v>4537728.7014999995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648715.34+7271.07+26361.98</f>
        <v>682348.3899999999</v>
      </c>
      <c r="G215" s="18">
        <f>243286.34+5601.47+2256.81+17.2</f>
        <v>251161.82</v>
      </c>
      <c r="H215" s="18">
        <f>2889.2+16369.16+406.4+400</f>
        <v>20064.760000000002</v>
      </c>
      <c r="I215" s="18">
        <f>24646.39+5042.36+790.99+34.17</f>
        <v>30513.91</v>
      </c>
      <c r="J215" s="18">
        <f>6496.48+3768.28+2364.85+3750</f>
        <v>16379.61</v>
      </c>
      <c r="K215" s="18">
        <f>35</f>
        <v>35</v>
      </c>
      <c r="L215" s="19">
        <f>SUM(F215:K215)</f>
        <v>1000503.49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51299.96+76038.11+3115.51+2500.04</f>
        <v>132953.62</v>
      </c>
      <c r="G216" s="18">
        <f>29322.51+24101.81+745.7+191.26</f>
        <v>54361.279999999999</v>
      </c>
      <c r="H216" s="18">
        <f>135+155+31973.33</f>
        <v>32263.33</v>
      </c>
      <c r="I216" s="18">
        <f>479.3+59.31</f>
        <v>538.61</v>
      </c>
      <c r="J216" s="18">
        <f>1226.08</f>
        <v>1226.08</v>
      </c>
      <c r="K216" s="18">
        <f>(7226.72+1570.8)*0.205</f>
        <v>1803.4916000000001</v>
      </c>
      <c r="L216" s="19">
        <f>SUM(F216:K216)</f>
        <v>223146.41159999996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8284.4+18710.2</f>
        <v>26994.6</v>
      </c>
      <c r="G218" s="18">
        <f>1463.09+2651.92+185.55</f>
        <v>4300.5600000000004</v>
      </c>
      <c r="H218" s="18">
        <f>3114.93+25.76+9193.8</f>
        <v>12334.49</v>
      </c>
      <c r="I218" s="18">
        <f>591.88+1156.45</f>
        <v>1748.33</v>
      </c>
      <c r="J218" s="18">
        <f>2387.01</f>
        <v>2387.0100000000002</v>
      </c>
      <c r="K218" s="18">
        <f>1290.92+1507.62+5000</f>
        <v>7798.54</v>
      </c>
      <c r="L218" s="19">
        <f>SUM(F218:K218)</f>
        <v>55563.530000000006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42085.52+11477.51+21138.77+228538.42*0.205</f>
        <v>121552.17610000001</v>
      </c>
      <c r="G220" s="18">
        <f>17039.26+11183.95+12822.3+91704.2*0.205</f>
        <v>59844.870999999992</v>
      </c>
      <c r="H220" s="18">
        <f>1814.47+280+2000+881+6153.6*0.205+1459.09+150+8225</f>
        <v>16071.048000000001</v>
      </c>
      <c r="I220" s="18">
        <f>1063.55+220.44+411.7+126+507.61*0.205+964.13*0.205</f>
        <v>2123.3967000000002</v>
      </c>
      <c r="J220" s="18">
        <f>8.23+84.47+194.25*0.205</f>
        <v>132.52125000000001</v>
      </c>
      <c r="K220" s="18">
        <f>215.6+58</f>
        <v>273.60000000000002</v>
      </c>
      <c r="L220" s="19">
        <f t="shared" ref="L220:L226" si="2">SUM(F220:K220)</f>
        <v>199997.61305000001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21063.51+62577*0.205</f>
        <v>33891.794999999998</v>
      </c>
      <c r="G221" s="18">
        <f>12552.82+10468*0.205+13529.16+28796.2*0.205</f>
        <v>34131.140999999996</v>
      </c>
      <c r="H221" s="18">
        <f>1141.94*0.205</f>
        <v>234.0977</v>
      </c>
      <c r="I221" s="18">
        <f>1387.4+481</f>
        <v>1868.4</v>
      </c>
      <c r="J221" s="18"/>
      <c r="K221" s="18">
        <f>8</f>
        <v>8</v>
      </c>
      <c r="L221" s="19">
        <f t="shared" si="2"/>
        <v>70133.43369999998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125+500+875+62.5+153028.42*0.205+110882.9*0.205</f>
        <v>55664.320600000006</v>
      </c>
      <c r="G222" s="18">
        <f>9.55+89.96+66.96+50960.34*0.205+61024.37*0.205</f>
        <v>23123.335549999996</v>
      </c>
      <c r="H222" s="18">
        <f>566.6+1229.2+(19313.86+813.74+12304.43+319.44)*0.205</f>
        <v>8509.8513500000008</v>
      </c>
      <c r="I222" s="18">
        <f>56.93+(1554.7+260.86+625.99)*0.205</f>
        <v>557.44775000000004</v>
      </c>
      <c r="J222" s="18"/>
      <c r="K222" s="18">
        <f>971.6+(1697.95+125)*0.205</f>
        <v>1345.30475</v>
      </c>
      <c r="L222" s="19">
        <f t="shared" si="2"/>
        <v>89200.26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70391.9+23941.06</f>
        <v>94332.959999999992</v>
      </c>
      <c r="G223" s="18">
        <f>25437.93+18647.65</f>
        <v>44085.58</v>
      </c>
      <c r="H223" s="18">
        <f>1998.62+13649.23+693.68</f>
        <v>16341.529999999999</v>
      </c>
      <c r="I223" s="18">
        <f>1235.09+1210.68+58.42</f>
        <v>2504.19</v>
      </c>
      <c r="J223" s="18"/>
      <c r="K223" s="18">
        <f>1931.8+1612.59+40</f>
        <v>3584.39</v>
      </c>
      <c r="L223" s="19">
        <f t="shared" si="2"/>
        <v>160848.65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161646.15*0.205</f>
        <v>33137.460749999998</v>
      </c>
      <c r="G224" s="18">
        <f>76997.65*0.205</f>
        <v>15784.518249999997</v>
      </c>
      <c r="H224" s="18">
        <f>(7267.38+769.48)*0.205</f>
        <v>1647.5563</v>
      </c>
      <c r="I224" s="18">
        <f>21430.38*0.205</f>
        <v>4393.2278999999999</v>
      </c>
      <c r="J224" s="18">
        <f>132.18*0.205</f>
        <v>27.096900000000002</v>
      </c>
      <c r="K224" s="18">
        <f>16793.58*0.205</f>
        <v>3442.6839</v>
      </c>
      <c r="L224" s="19">
        <f t="shared" si="2"/>
        <v>58432.54399999998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56025*0.205+37478.1</f>
        <v>48963.224999999999</v>
      </c>
      <c r="G225" s="18">
        <f>33540.51*0.205+15919.98</f>
        <v>22795.78455</v>
      </c>
      <c r="H225" s="18">
        <f>(1680+480+26181.98)*0.205+36768.59+5478.35+81.8+158.73+4001*0.205+10247</f>
        <v>59364.780900000005</v>
      </c>
      <c r="I225" s="18">
        <f>1532.7*0.205+62294.64+4908.3</f>
        <v>67517.143500000006</v>
      </c>
      <c r="J225" s="18">
        <f>160+4580+5140</f>
        <v>9880</v>
      </c>
      <c r="K225" s="18"/>
      <c r="L225" s="19">
        <f t="shared" si="2"/>
        <v>208520.93395000001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20233.84+2499.18+206.15+16888.35+546.96</f>
        <v>40374.480000000003</v>
      </c>
      <c r="I226" s="18"/>
      <c r="J226" s="18"/>
      <c r="K226" s="18"/>
      <c r="L226" s="19">
        <f t="shared" si="2"/>
        <v>40374.480000000003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13845.6</v>
      </c>
      <c r="G227" s="18">
        <f>4992.13</f>
        <v>4992.13</v>
      </c>
      <c r="H227" s="18">
        <f>(77389.74+182.85)*0.205+130</f>
        <v>16032.380950000001</v>
      </c>
      <c r="I227" s="18">
        <f>1195*0.205</f>
        <v>244.97499999999999</v>
      </c>
      <c r="J227" s="18"/>
      <c r="K227" s="18"/>
      <c r="L227" s="19">
        <f>SUM(F227:K227)</f>
        <v>35115.085950000001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1243684.1474500003</v>
      </c>
      <c r="G229" s="41">
        <f>SUM(G215:G228)</f>
        <v>514581.02035000001</v>
      </c>
      <c r="H229" s="41">
        <f>SUM(H215:H228)</f>
        <v>223238.3052</v>
      </c>
      <c r="I229" s="41">
        <f>SUM(I215:I228)</f>
        <v>112009.63085000002</v>
      </c>
      <c r="J229" s="41">
        <f>SUM(J215:J228)</f>
        <v>30032.318150000006</v>
      </c>
      <c r="K229" s="41">
        <f t="shared" si="3"/>
        <v>18291.010249999999</v>
      </c>
      <c r="L229" s="41">
        <f t="shared" si="3"/>
        <v>2141836.4322500001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1139258.6+10908.09+32645.52</f>
        <v>1182812.2100000002</v>
      </c>
      <c r="G233" s="18">
        <f>491266.01+8403.09+2859.29+26.12</f>
        <v>502554.51</v>
      </c>
      <c r="H233" s="18">
        <f>3124.38+303.68+14987.31+609.6</f>
        <v>19024.969999999998</v>
      </c>
      <c r="I233" s="18">
        <f>39549.67+6603.3+1355.53+51.25</f>
        <v>47559.75</v>
      </c>
      <c r="J233" s="18">
        <f>13214.33+38239.38+7147.42</f>
        <v>58601.13</v>
      </c>
      <c r="K233" s="18"/>
      <c r="L233" s="19">
        <f>SUM(F233:K233)</f>
        <v>1810552.57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70250.04+51140.65+1039.49+2500.04</f>
        <v>124930.22</v>
      </c>
      <c r="G234" s="18">
        <f>36305.35+11617.14+321.58+196.86+191.26</f>
        <v>48632.19</v>
      </c>
      <c r="H234" s="18">
        <f>1260+339112.24</f>
        <v>340372.24</v>
      </c>
      <c r="I234" s="18">
        <f>1274.07+559.92</f>
        <v>1833.9899999999998</v>
      </c>
      <c r="J234" s="18">
        <f>732.19</f>
        <v>732.19</v>
      </c>
      <c r="K234" s="18">
        <f>(7226.72+1570.8)*0.325</f>
        <v>2859.1940000000004</v>
      </c>
      <c r="L234" s="19">
        <f>SUM(F234:K234)</f>
        <v>519360.02400000003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15763.18+1634.64</f>
        <v>17397.82</v>
      </c>
      <c r="I235" s="18"/>
      <c r="J235" s="18"/>
      <c r="K235" s="18"/>
      <c r="L235" s="19">
        <f>SUM(F235:K235)</f>
        <v>17397.82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18746.6+34332.8</f>
        <v>53079.4</v>
      </c>
      <c r="G236" s="18">
        <f>2896.97+4469.61</f>
        <v>7366.58</v>
      </c>
      <c r="H236" s="18">
        <f>4672.43+38.61+11952.7</f>
        <v>16663.740000000002</v>
      </c>
      <c r="I236" s="18">
        <f>887.82+1734.65</f>
        <v>2622.4700000000003</v>
      </c>
      <c r="J236" s="18">
        <f>3580.5</f>
        <v>3580.5</v>
      </c>
      <c r="K236" s="18">
        <f>2075.49+2261.44</f>
        <v>4336.93</v>
      </c>
      <c r="L236" s="19">
        <f>SUM(F236:K236)</f>
        <v>87649.62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68271+17216.23+31708.35+228538.42*0.325</f>
        <v>191470.56650000002</v>
      </c>
      <c r="G238" s="18">
        <f>35494.99+16776.34+19234.68+91704.2*0.325</f>
        <v>101309.87500000001</v>
      </c>
      <c r="H238" s="18">
        <f>4024.53+420+1000+2715+6153.6*0.325+9267+831.5+533.95</f>
        <v>20791.900000000001</v>
      </c>
      <c r="I238" s="18">
        <f>1595.21+330.66+616.83+189+507.61*0.325+964.13*0.325</f>
        <v>3210.0155000000004</v>
      </c>
      <c r="J238" s="18">
        <f>194.25*0.325+12.35</f>
        <v>75.481250000000003</v>
      </c>
      <c r="K238" s="18">
        <f>323.4+87</f>
        <v>410.4</v>
      </c>
      <c r="L238" s="19">
        <f t="shared" ref="L238:L244" si="4">SUM(F238:K238)</f>
        <v>317268.23825000005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30790.58+62577*0.325</f>
        <v>51128.105000000003</v>
      </c>
      <c r="G239" s="18">
        <f>9394.53+20295.02+28796.2*0.325+10468*0.325</f>
        <v>42450.415000000001</v>
      </c>
      <c r="H239" s="18">
        <f>1141.94*0.325</f>
        <v>371.13050000000004</v>
      </c>
      <c r="I239" s="18">
        <f>2081.12+908.7</f>
        <v>2989.8199999999997</v>
      </c>
      <c r="J239" s="18">
        <f>126.71</f>
        <v>126.71</v>
      </c>
      <c r="K239" s="18">
        <f>12</f>
        <v>12</v>
      </c>
      <c r="L239" s="19">
        <f t="shared" si="4"/>
        <v>97078.180500000002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125+500+875+62.5+153028.42*0.325+110882.9*0.325</f>
        <v>87333.679000000004</v>
      </c>
      <c r="G240" s="18">
        <f>9.55+89.96+66.96+50960.34*0.325+61024.37*0.325</f>
        <v>36561.500750000007</v>
      </c>
      <c r="H240" s="18">
        <f>893.85+1630.4+(19313.86+813.74+12304.43+319.44)*0.325</f>
        <v>13168.47775</v>
      </c>
      <c r="I240" s="18">
        <f>60.33+(1554.7+260.86+625.99)*0.325</f>
        <v>853.83375000000012</v>
      </c>
      <c r="J240" s="18"/>
      <c r="K240" s="18">
        <f>1383.31+(1697.95+125)*0.325</f>
        <v>1975.76875</v>
      </c>
      <c r="L240" s="19">
        <f t="shared" si="4"/>
        <v>139893.25999999998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105588.1+35855.12</f>
        <v>141443.22</v>
      </c>
      <c r="G241" s="18">
        <f>36942.87+27808.07</f>
        <v>64750.94</v>
      </c>
      <c r="H241" s="18">
        <f>3300+19945.92+1040.54</f>
        <v>24286.46</v>
      </c>
      <c r="I241" s="18">
        <f>1936.7+1830.46+104.63</f>
        <v>3871.79</v>
      </c>
      <c r="J241" s="18"/>
      <c r="K241" s="18">
        <f>2897.7+2749.6+40</f>
        <v>5687.2999999999993</v>
      </c>
      <c r="L241" s="19">
        <f t="shared" si="4"/>
        <v>240039.71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161646.15*0.325</f>
        <v>52534.998749999999</v>
      </c>
      <c r="G242" s="18">
        <f>76997.65*0.325</f>
        <v>25024.236249999998</v>
      </c>
      <c r="H242" s="18">
        <f>(7267.38+769.48)*0.325</f>
        <v>2611.9795000000004</v>
      </c>
      <c r="I242" s="18">
        <f>21430.38*0.325</f>
        <v>6964.8735000000006</v>
      </c>
      <c r="J242" s="18">
        <f>132.18*0.325</f>
        <v>42.958500000000001</v>
      </c>
      <c r="K242" s="18">
        <f>16793.58*0.325</f>
        <v>5457.9135000000006</v>
      </c>
      <c r="L242" s="19">
        <f t="shared" si="4"/>
        <v>92636.959999999992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56025*0.325+55414.35</f>
        <v>73622.475000000006</v>
      </c>
      <c r="G243" s="18">
        <f>23816.98+7551.96+33540.51*0.325</f>
        <v>42269.605750000002</v>
      </c>
      <c r="H243" s="18">
        <f>56349.57+8189.4+(1680+480+26181.98)*0.325+122.7+66.28+2877+4001*0.325+15389</f>
        <v>93505.4185</v>
      </c>
      <c r="I243" s="18">
        <f>1532.7*0.325+88139.55+6629.88</f>
        <v>95267.55750000001</v>
      </c>
      <c r="J243" s="18">
        <f>180+6870+7710</f>
        <v>14760</v>
      </c>
      <c r="K243" s="18"/>
      <c r="L243" s="19">
        <f t="shared" si="4"/>
        <v>319425.05674999999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44818.71+1725.21+431.73+22854+1170+25332.54+820.43</f>
        <v>97152.62</v>
      </c>
      <c r="I244" s="18"/>
      <c r="J244" s="18"/>
      <c r="K244" s="18"/>
      <c r="L244" s="19">
        <f t="shared" si="4"/>
        <v>97152.62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20768.4</f>
        <v>20768.400000000001</v>
      </c>
      <c r="G245" s="18"/>
      <c r="H245" s="18">
        <f>9980+(77389.74+182.85)*0.325</f>
        <v>35191.091750000007</v>
      </c>
      <c r="I245" s="18">
        <f>1195*0.325</f>
        <v>388.375</v>
      </c>
      <c r="J245" s="18"/>
      <c r="K245" s="18"/>
      <c r="L245" s="19">
        <f>SUM(F245:K245)</f>
        <v>56347.866750000008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1979123.27425</v>
      </c>
      <c r="G247" s="41">
        <f t="shared" si="5"/>
        <v>870919.85274999985</v>
      </c>
      <c r="H247" s="41">
        <f t="shared" si="5"/>
        <v>680537.84800000011</v>
      </c>
      <c r="I247" s="41">
        <f t="shared" si="5"/>
        <v>165562.47525000002</v>
      </c>
      <c r="J247" s="41">
        <f t="shared" si="5"/>
        <v>77918.969749999989</v>
      </c>
      <c r="K247" s="41">
        <f t="shared" si="5"/>
        <v>20739.506249999999</v>
      </c>
      <c r="L247" s="41">
        <f t="shared" si="5"/>
        <v>3794801.9262499996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5788856.3900000006</v>
      </c>
      <c r="G257" s="41">
        <f t="shared" si="8"/>
        <v>2467584.3999999994</v>
      </c>
      <c r="H257" s="41">
        <f t="shared" si="8"/>
        <v>1523159.9700000002</v>
      </c>
      <c r="I257" s="41">
        <f t="shared" si="8"/>
        <v>493660.36000000004</v>
      </c>
      <c r="J257" s="41">
        <f t="shared" si="8"/>
        <v>143248.63999999998</v>
      </c>
      <c r="K257" s="41">
        <f t="shared" si="8"/>
        <v>57857.299999999996</v>
      </c>
      <c r="L257" s="41">
        <f t="shared" si="8"/>
        <v>10474367.059999999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325000</f>
        <v>325000</v>
      </c>
      <c r="L260" s="19">
        <f>SUM(F260:K260)</f>
        <v>325000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284436.86</v>
      </c>
      <c r="L261" s="19">
        <f>SUM(F261:K261)</f>
        <v>284436.86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39801.919999999998</v>
      </c>
      <c r="L263" s="19">
        <f>SUM(F263:K263)</f>
        <v>39801.919999999998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649238.78</v>
      </c>
      <c r="L270" s="41">
        <f t="shared" si="9"/>
        <v>649238.78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5788856.3900000006</v>
      </c>
      <c r="G271" s="42">
        <f t="shared" si="11"/>
        <v>2467584.3999999994</v>
      </c>
      <c r="H271" s="42">
        <f t="shared" si="11"/>
        <v>1523159.9700000002</v>
      </c>
      <c r="I271" s="42">
        <f t="shared" si="11"/>
        <v>493660.36000000004</v>
      </c>
      <c r="J271" s="42">
        <f t="shared" si="11"/>
        <v>143248.63999999998</v>
      </c>
      <c r="K271" s="42">
        <f t="shared" si="11"/>
        <v>707096.08000000007</v>
      </c>
      <c r="L271" s="42">
        <f t="shared" si="11"/>
        <v>11123605.839999998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44381.42+16500+1720</f>
        <v>62601.42</v>
      </c>
      <c r="G276" s="18">
        <f>22819.64+1358.83+4384.64+2248.75+2336.4+1200+1441.27+124.07+131.58+11.09+16.56</f>
        <v>36072.829999999994</v>
      </c>
      <c r="H276" s="18">
        <f>149.98</f>
        <v>149.97999999999999</v>
      </c>
      <c r="I276" s="18">
        <f>57.92+34.2+5130</f>
        <v>5222.12</v>
      </c>
      <c r="J276" s="18"/>
      <c r="K276" s="18"/>
      <c r="L276" s="19">
        <f>SUM(F276:K276)</f>
        <v>104046.34999999999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2264.75</f>
        <v>2264.75</v>
      </c>
      <c r="G279" s="18">
        <v>173.26</v>
      </c>
      <c r="H279" s="18"/>
      <c r="I279" s="18"/>
      <c r="J279" s="18"/>
      <c r="K279" s="18"/>
      <c r="L279" s="19">
        <f>SUM(F279:K279)</f>
        <v>2438.0100000000002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37270.08</f>
        <v>37270.080000000002</v>
      </c>
      <c r="G281" s="18">
        <f>8724+626+92.6+137.98+2851.22+4014.07</f>
        <v>16445.87</v>
      </c>
      <c r="H281" s="18">
        <f>500+1289+19607+23455+8530</f>
        <v>53381</v>
      </c>
      <c r="I281" s="18">
        <f>462.04</f>
        <v>462.04</v>
      </c>
      <c r="J281" s="18">
        <f>600</f>
        <v>600</v>
      </c>
      <c r="K281" s="18"/>
      <c r="L281" s="19">
        <f t="shared" ref="L281:L287" si="12">SUM(F281:K281)</f>
        <v>108158.98999999999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(2500+5487.5)*0.47+4255.08</f>
        <v>8009.2049999999999</v>
      </c>
      <c r="G282" s="18">
        <f>(148.7+246.01+107.7+414.19+177.16)*0.47+325.52+458.27+400</f>
        <v>1697.8571999999999</v>
      </c>
      <c r="H282" s="18">
        <f>1563+(9450+548+1289.6+984.66+5000+2500+50.1+3152.16+2499.9)*0.47+206.22+5221.39+4006.5</f>
        <v>22970.0874</v>
      </c>
      <c r="I282" s="18">
        <f>323.73*0.47</f>
        <v>152.15309999999999</v>
      </c>
      <c r="J282" s="18"/>
      <c r="K282" s="18"/>
      <c r="L282" s="19">
        <f t="shared" si="12"/>
        <v>32829.3027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f>(2700+2700)*0.47</f>
        <v>2538</v>
      </c>
      <c r="I286" s="18"/>
      <c r="J286" s="18">
        <f>213*0.47</f>
        <v>100.11</v>
      </c>
      <c r="K286" s="18"/>
      <c r="L286" s="19">
        <f t="shared" si="12"/>
        <v>2638.11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2562.16</v>
      </c>
      <c r="J288" s="18"/>
      <c r="K288" s="18"/>
      <c r="L288" s="19">
        <f>SUM(F288:K288)</f>
        <v>2562.16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110145.455</v>
      </c>
      <c r="G290" s="42">
        <f t="shared" si="13"/>
        <v>54389.81719999999</v>
      </c>
      <c r="H290" s="42">
        <f t="shared" si="13"/>
        <v>79039.0674</v>
      </c>
      <c r="I290" s="42">
        <f t="shared" si="13"/>
        <v>8398.4730999999992</v>
      </c>
      <c r="J290" s="42">
        <f t="shared" si="13"/>
        <v>700.11</v>
      </c>
      <c r="K290" s="42">
        <f t="shared" si="13"/>
        <v>0</v>
      </c>
      <c r="L290" s="41">
        <f t="shared" si="13"/>
        <v>252672.92269999997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f>701.56</f>
        <v>701.56</v>
      </c>
      <c r="J295" s="18"/>
      <c r="K295" s="18"/>
      <c r="L295" s="19">
        <f>SUM(F295:K295)</f>
        <v>701.56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19950*0.4</f>
        <v>7980</v>
      </c>
      <c r="G296" s="18">
        <f>(54.6+55.12+1526.18)*0.4</f>
        <v>654.36000000000013</v>
      </c>
      <c r="H296" s="18"/>
      <c r="I296" s="18">
        <f>1200*0.4</f>
        <v>480</v>
      </c>
      <c r="J296" s="18">
        <f>549.45*0.4</f>
        <v>219.78000000000003</v>
      </c>
      <c r="K296" s="18"/>
      <c r="L296" s="19">
        <f>SUM(F296:K296)</f>
        <v>9334.1400000000012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(19515+2000)*0.4+(2500+5487.5)*0.205</f>
        <v>10243.4375</v>
      </c>
      <c r="G301" s="18">
        <f>(4187.52+288.29+1413.75+2763.29+149+141.6)*0.4+(148.7+246.01+107.7+414.19+177.16)*0.205</f>
        <v>3801.6008000000006</v>
      </c>
      <c r="H301" s="18">
        <f>(9450+548+1289.6+984.66+5000+2500+50.1+3152.16+2499.9)*0.205+31.84</f>
        <v>5254.0961000000007</v>
      </c>
      <c r="I301" s="18">
        <f>323.73*0.205</f>
        <v>66.364649999999997</v>
      </c>
      <c r="J301" s="18"/>
      <c r="K301" s="18"/>
      <c r="L301" s="19">
        <f t="shared" si="14"/>
        <v>19365.499050000002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f>(2700+2700)*0.205</f>
        <v>1107</v>
      </c>
      <c r="I305" s="18"/>
      <c r="J305" s="18">
        <f>213*0.205</f>
        <v>43.664999999999999</v>
      </c>
      <c r="K305" s="18"/>
      <c r="L305" s="19">
        <f t="shared" si="14"/>
        <v>1150.665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f>6770*0.4</f>
        <v>2708</v>
      </c>
      <c r="I307" s="18"/>
      <c r="J307" s="18"/>
      <c r="K307" s="18"/>
      <c r="L307" s="19">
        <f>SUM(F307:K307)</f>
        <v>2708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18223.4375</v>
      </c>
      <c r="G309" s="42">
        <f t="shared" si="15"/>
        <v>4455.9608000000007</v>
      </c>
      <c r="H309" s="42">
        <f t="shared" si="15"/>
        <v>9069.0961000000007</v>
      </c>
      <c r="I309" s="42">
        <f t="shared" si="15"/>
        <v>1247.9246499999999</v>
      </c>
      <c r="J309" s="42">
        <f t="shared" si="15"/>
        <v>263.44500000000005</v>
      </c>
      <c r="K309" s="42">
        <f t="shared" si="15"/>
        <v>0</v>
      </c>
      <c r="L309" s="41">
        <f t="shared" si="15"/>
        <v>33259.864050000004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f>756.44</f>
        <v>756.44</v>
      </c>
      <c r="J314" s="18"/>
      <c r="K314" s="18"/>
      <c r="L314" s="19">
        <f>SUM(F314:K314)</f>
        <v>756.44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19950*0.6</f>
        <v>11970</v>
      </c>
      <c r="G315" s="18">
        <f>(54.6+55.12+1526.18)*0.6</f>
        <v>981.54</v>
      </c>
      <c r="H315" s="18"/>
      <c r="I315" s="18">
        <f>1200*0.6</f>
        <v>720</v>
      </c>
      <c r="J315" s="18">
        <f>549.45*0.6</f>
        <v>329.67</v>
      </c>
      <c r="K315" s="18"/>
      <c r="L315" s="19">
        <f>SUM(F315:K315)</f>
        <v>14001.210000000001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(19515+2000)*0.6+(2500+5487.5)*0.325</f>
        <v>15504.9375</v>
      </c>
      <c r="G320" s="18">
        <f>(4187.52+288.29+1413.75+2763.29+149+141.6)*0.6+(148.7+246.01+107.7+414.19+177.16)*0.325</f>
        <v>5721.5420000000004</v>
      </c>
      <c r="H320" s="18">
        <f>(9450+548+1289.6+984.66+5000+2500+50.1+3152.16+2499.9)*0.325</f>
        <v>8279.1865000000016</v>
      </c>
      <c r="I320" s="18">
        <f>323.73*0.325</f>
        <v>105.21225000000001</v>
      </c>
      <c r="J320" s="18"/>
      <c r="K320" s="18"/>
      <c r="L320" s="19">
        <f t="shared" si="16"/>
        <v>29610.878250000005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(2700+2700)*0.325</f>
        <v>1755</v>
      </c>
      <c r="I324" s="18"/>
      <c r="J324" s="18">
        <f>213*0.325</f>
        <v>69.225000000000009</v>
      </c>
      <c r="K324" s="18"/>
      <c r="L324" s="19">
        <f t="shared" si="16"/>
        <v>1824.2249999999999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f>6770*0.6</f>
        <v>4062</v>
      </c>
      <c r="I326" s="18"/>
      <c r="J326" s="18"/>
      <c r="K326" s="18"/>
      <c r="L326" s="19">
        <f>SUM(F326:K326)</f>
        <v>4062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27474.9375</v>
      </c>
      <c r="G328" s="42">
        <f t="shared" si="17"/>
        <v>6703.0820000000003</v>
      </c>
      <c r="H328" s="42">
        <f t="shared" si="17"/>
        <v>14096.186500000002</v>
      </c>
      <c r="I328" s="42">
        <f t="shared" si="17"/>
        <v>1581.6522500000001</v>
      </c>
      <c r="J328" s="42">
        <f t="shared" si="17"/>
        <v>398.89500000000004</v>
      </c>
      <c r="K328" s="42">
        <f t="shared" si="17"/>
        <v>0</v>
      </c>
      <c r="L328" s="41">
        <f t="shared" si="17"/>
        <v>50254.753250000002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155843.83000000002</v>
      </c>
      <c r="G338" s="41">
        <f t="shared" si="20"/>
        <v>65548.859999999986</v>
      </c>
      <c r="H338" s="41">
        <f t="shared" si="20"/>
        <v>102204.34999999999</v>
      </c>
      <c r="I338" s="41">
        <f t="shared" si="20"/>
        <v>11228.05</v>
      </c>
      <c r="J338" s="41">
        <f t="shared" si="20"/>
        <v>1362.45</v>
      </c>
      <c r="K338" s="41">
        <f t="shared" si="20"/>
        <v>0</v>
      </c>
      <c r="L338" s="41">
        <f t="shared" si="20"/>
        <v>336187.54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155843.83000000002</v>
      </c>
      <c r="G352" s="41">
        <f>G338</f>
        <v>65548.859999999986</v>
      </c>
      <c r="H352" s="41">
        <f>H338</f>
        <v>102204.34999999999</v>
      </c>
      <c r="I352" s="41">
        <f>I338</f>
        <v>11228.05</v>
      </c>
      <c r="J352" s="41">
        <f>J338</f>
        <v>1362.45</v>
      </c>
      <c r="K352" s="47">
        <f>K338+K351</f>
        <v>0</v>
      </c>
      <c r="L352" s="41">
        <f>L338+L351</f>
        <v>336187.54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14267.02+18515.76+37386.5*0.47</f>
        <v>50354.434999999998</v>
      </c>
      <c r="G358" s="18">
        <f>2000+6456+31.5+59.5+21.51+48.69+1244.42+1292.96+(2000+1656.19+54.39+122.12+3012.74+63.7)*0.47</f>
        <v>14401.875800000002</v>
      </c>
      <c r="H358" s="18">
        <f>(624.25+1406.14+358+7508+90+797.97+175+617.8)*0.47</f>
        <v>5441.2651999999989</v>
      </c>
      <c r="I358" s="18">
        <f>1267.62+5152.2+(264.76+389.01+147+26.06+744.37+5289.69+55428.43+11174.5+5784.42+199)*0.47</f>
        <v>43760.022799999999</v>
      </c>
      <c r="J358" s="18"/>
      <c r="K358" s="18">
        <f>(646.5-64.03)*0.47</f>
        <v>273.76089999999999</v>
      </c>
      <c r="L358" s="13">
        <f>SUM(F358:K358)</f>
        <v>114231.3597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12877.93+37386.5*0.205</f>
        <v>20542.162499999999</v>
      </c>
      <c r="G359" s="18">
        <f>1721.6+51.8+30.27+941.38+(2000+1656.19+54.39+122.12+3012.74+63.7)*0.205</f>
        <v>4161.4236999999994</v>
      </c>
      <c r="H359" s="18">
        <f>(624.25+1406.14+358+7508+90+797.97+175+617.8)*0.205</f>
        <v>2373.3177999999994</v>
      </c>
      <c r="I359" s="18">
        <f>93.5+2043.61+(264.76+389.01+147+26.06+744.37+5289.69+55428.43+11174.5+5784.42+199)*0.205</f>
        <v>18423.7942</v>
      </c>
      <c r="J359" s="18"/>
      <c r="K359" s="18">
        <f>(646.5-64.03)*0.205</f>
        <v>119.40635</v>
      </c>
      <c r="L359" s="19">
        <f>SUM(F359:K359)</f>
        <v>45620.104549999996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19392.99+37386.5*0.325</f>
        <v>31543.602500000001</v>
      </c>
      <c r="G360" s="18">
        <f>2582.4+77.7+45.48+1445.15+(2000+1656.19+54.39+122.12+3012.74+63.7)*0.325</f>
        <v>6396.200499999999</v>
      </c>
      <c r="H360" s="18">
        <f>(624.25+1406.14+358+7508+90+797.97+175+617.8)*0.325</f>
        <v>3762.5769999999993</v>
      </c>
      <c r="I360" s="18">
        <f>3394.25+19.99+(264.76+389.01+147+26.06+744.37+5289.69+55428.43+11174.5+5784.42+199)*0.325</f>
        <v>29234.593000000001</v>
      </c>
      <c r="J360" s="18">
        <f>15.98</f>
        <v>15.98</v>
      </c>
      <c r="K360" s="18">
        <f>(646.5-64.03)*0.325</f>
        <v>189.30275</v>
      </c>
      <c r="L360" s="19">
        <f>SUM(F360:K360)</f>
        <v>71142.255749999997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102440.20000000001</v>
      </c>
      <c r="G362" s="47">
        <f t="shared" si="22"/>
        <v>24959.5</v>
      </c>
      <c r="H362" s="47">
        <f t="shared" si="22"/>
        <v>11577.159999999998</v>
      </c>
      <c r="I362" s="47">
        <f t="shared" si="22"/>
        <v>91418.41</v>
      </c>
      <c r="J362" s="47">
        <f t="shared" si="22"/>
        <v>15.98</v>
      </c>
      <c r="K362" s="47">
        <f t="shared" si="22"/>
        <v>582.47</v>
      </c>
      <c r="L362" s="47">
        <f t="shared" si="22"/>
        <v>230993.71999999997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(5784.42+11174.5+55428.43)*0.47+5152.2</f>
        <v>39174.254499999995</v>
      </c>
      <c r="G367" s="18">
        <f>(5784.42+11174.5+55428.43)*0.205+2043.61</f>
        <v>16883.016749999999</v>
      </c>
      <c r="H367" s="18">
        <f>(5784.42+11174.5+55428.43)*0.325+3394.25</f>
        <v>26920.138750000002</v>
      </c>
      <c r="I367" s="56">
        <f>SUM(F367:H367)</f>
        <v>82977.409999999989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4585.7700000000004</v>
      </c>
      <c r="G368" s="63">
        <f>1540.77+0.01</f>
        <v>1540.78</v>
      </c>
      <c r="H368" s="63">
        <v>2314.4499999999998</v>
      </c>
      <c r="I368" s="56">
        <f>SUM(F368:H368)</f>
        <v>8441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43760.0245</v>
      </c>
      <c r="G369" s="47">
        <f>SUM(G367:G368)</f>
        <v>18423.796749999998</v>
      </c>
      <c r="H369" s="47">
        <f>SUM(H367:H368)</f>
        <v>29234.588750000003</v>
      </c>
      <c r="I369" s="47">
        <f>SUM(I367:I368)</f>
        <v>91418.409999999989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f>212513.37</f>
        <v>212513.37</v>
      </c>
      <c r="I375" s="18"/>
      <c r="J375" s="18"/>
      <c r="K375" s="18"/>
      <c r="L375" s="13">
        <f t="shared" ref="L375:L381" si="23">SUM(F375:K375)</f>
        <v>212513.37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f>302093.6</f>
        <v>302093.59999999998</v>
      </c>
      <c r="I376" s="18"/>
      <c r="J376" s="18"/>
      <c r="K376" s="18"/>
      <c r="L376" s="13">
        <f t="shared" si="23"/>
        <v>302093.59999999998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3506777.86</f>
        <v>3506777.86</v>
      </c>
      <c r="I379" s="18"/>
      <c r="J379" s="18"/>
      <c r="K379" s="18"/>
      <c r="L379" s="13">
        <f t="shared" si="23"/>
        <v>3506777.86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4021384.83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4021384.83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705.71</v>
      </c>
      <c r="I396" s="18"/>
      <c r="J396" s="24" t="s">
        <v>289</v>
      </c>
      <c r="K396" s="24" t="s">
        <v>289</v>
      </c>
      <c r="L396" s="56">
        <f t="shared" si="26"/>
        <v>705.71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400.78</v>
      </c>
      <c r="I397" s="18">
        <v>131.03</v>
      </c>
      <c r="J397" s="24" t="s">
        <v>289</v>
      </c>
      <c r="K397" s="24" t="s">
        <v>289</v>
      </c>
      <c r="L397" s="56">
        <f t="shared" si="26"/>
        <v>531.80999999999995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78.989999999999995</v>
      </c>
      <c r="I399" s="18"/>
      <c r="J399" s="24" t="s">
        <v>289</v>
      </c>
      <c r="K399" s="24" t="s">
        <v>289</v>
      </c>
      <c r="L399" s="56">
        <f t="shared" si="26"/>
        <v>78.989999999999995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1185.48</v>
      </c>
      <c r="I401" s="47">
        <f>SUM(I395:I400)</f>
        <v>131.03</v>
      </c>
      <c r="J401" s="45" t="s">
        <v>289</v>
      </c>
      <c r="K401" s="45" t="s">
        <v>289</v>
      </c>
      <c r="L401" s="47">
        <f>SUM(L395:L400)</f>
        <v>1316.51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1185.48</v>
      </c>
      <c r="I408" s="47">
        <f>I393+I401+I407</f>
        <v>131.03</v>
      </c>
      <c r="J408" s="24" t="s">
        <v>289</v>
      </c>
      <c r="K408" s="24" t="s">
        <v>289</v>
      </c>
      <c r="L408" s="47">
        <f>L393+L401+L407</f>
        <v>1316.51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486822.66</v>
      </c>
      <c r="G439" s="18"/>
      <c r="H439" s="18"/>
      <c r="I439" s="56">
        <f t="shared" ref="I439:I445" si="33">SUM(F439:H439)</f>
        <v>486822.66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486822.66</v>
      </c>
      <c r="G446" s="13">
        <f>SUM(G439:G445)</f>
        <v>0</v>
      </c>
      <c r="H446" s="13">
        <f>SUM(H439:H445)</f>
        <v>0</v>
      </c>
      <c r="I446" s="13">
        <f>SUM(I439:I445)</f>
        <v>486822.66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486822.66</v>
      </c>
      <c r="G456" s="18"/>
      <c r="H456" s="18"/>
      <c r="I456" s="56">
        <f t="shared" si="34"/>
        <v>486822.66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486822.66</v>
      </c>
      <c r="G460" s="83">
        <f>SUM(G454:G459)</f>
        <v>0</v>
      </c>
      <c r="H460" s="83">
        <f>SUM(H454:H459)</f>
        <v>0</v>
      </c>
      <c r="I460" s="83">
        <f>SUM(I454:I459)</f>
        <v>486822.66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486822.66</v>
      </c>
      <c r="G461" s="42">
        <f>G452+G460</f>
        <v>0</v>
      </c>
      <c r="H461" s="42">
        <f>H452+H460</f>
        <v>0</v>
      </c>
      <c r="I461" s="42">
        <f>I452+I460</f>
        <v>486822.66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904</v>
      </c>
      <c r="B465" s="105">
        <v>19</v>
      </c>
      <c r="C465" s="111">
        <v>1</v>
      </c>
      <c r="D465" s="2" t="s">
        <v>433</v>
      </c>
      <c r="E465" s="111"/>
      <c r="F465" s="18">
        <v>522707.95</v>
      </c>
      <c r="G465" s="18">
        <v>-15981.63</v>
      </c>
      <c r="H465" s="18">
        <v>449.36</v>
      </c>
      <c r="I465" s="18">
        <v>-64402.33</v>
      </c>
      <c r="J465" s="18">
        <v>485506.15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11053897.08</v>
      </c>
      <c r="G468" s="18">
        <v>230993.72</v>
      </c>
      <c r="H468" s="18">
        <v>338671.62</v>
      </c>
      <c r="I468" s="18">
        <v>8270665.9699999997</v>
      </c>
      <c r="J468" s="18">
        <f>1185.48+131.03</f>
        <v>1316.51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11053897.08</v>
      </c>
      <c r="G470" s="53">
        <f>SUM(G468:G469)</f>
        <v>230993.72</v>
      </c>
      <c r="H470" s="53">
        <f>SUM(H468:H469)</f>
        <v>338671.62</v>
      </c>
      <c r="I470" s="53">
        <f>SUM(I468:I469)</f>
        <v>8270665.9699999997</v>
      </c>
      <c r="J470" s="53">
        <f>SUM(J468:J469)</f>
        <v>1316.51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11503270.73-500137+80670.19+39801.92</f>
        <v>11123605.84</v>
      </c>
      <c r="G472" s="18">
        <v>230993.72</v>
      </c>
      <c r="H472" s="18">
        <v>336187.54</v>
      </c>
      <c r="I472" s="18">
        <v>4021384.83</v>
      </c>
      <c r="J472" s="18"/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-29589.7+9123.76</f>
        <v>-20465.940000000002</v>
      </c>
      <c r="G473" s="18">
        <f>20666.91</f>
        <v>20666.91</v>
      </c>
      <c r="H473" s="18"/>
      <c r="I473" s="18">
        <f>39250</f>
        <v>39250</v>
      </c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11103139.9</v>
      </c>
      <c r="G474" s="53">
        <f>SUM(G472:G473)</f>
        <v>251660.63</v>
      </c>
      <c r="H474" s="53">
        <f>SUM(H472:H473)</f>
        <v>336187.54</v>
      </c>
      <c r="I474" s="53">
        <f>SUM(I472:I473)</f>
        <v>4060634.83</v>
      </c>
      <c r="J474" s="53">
        <f>SUM(J472:J473)</f>
        <v>0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473465.12999999896</v>
      </c>
      <c r="G476" s="53">
        <f>(G465+G470)- G474</f>
        <v>-36648.540000000008</v>
      </c>
      <c r="H476" s="53">
        <f>(H465+H470)- H474</f>
        <v>2933.4400000000023</v>
      </c>
      <c r="I476" s="53">
        <f>(I465+I470)- I474</f>
        <v>4145628.8099999996</v>
      </c>
      <c r="J476" s="53">
        <f>(J465+J470)- J474</f>
        <v>486822.66000000003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4" t="s">
        <v>918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 t="s">
        <v>917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4" t="s">
        <v>912</v>
      </c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915</v>
      </c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6476775</v>
      </c>
      <c r="G493" s="18">
        <v>7640000</v>
      </c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3.4</v>
      </c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1930000</v>
      </c>
      <c r="G495" s="18">
        <v>0</v>
      </c>
      <c r="H495" s="18"/>
      <c r="I495" s="18"/>
      <c r="J495" s="18"/>
      <c r="K495" s="53">
        <f>SUM(F495:J495)</f>
        <v>1930000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7640000</v>
      </c>
      <c r="H496" s="18"/>
      <c r="I496" s="18"/>
      <c r="J496" s="18"/>
      <c r="K496" s="53">
        <f t="shared" ref="K496:K503" si="35">SUM(F496:J496)</f>
        <v>7640000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325000</v>
      </c>
      <c r="G497" s="18">
        <v>0</v>
      </c>
      <c r="H497" s="18"/>
      <c r="I497" s="18"/>
      <c r="J497" s="18"/>
      <c r="K497" s="53">
        <f t="shared" si="35"/>
        <v>325000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f>F495+F496-F497</f>
        <v>1605000</v>
      </c>
      <c r="G498" s="203">
        <f>G495+G496-G497</f>
        <v>7640000</v>
      </c>
      <c r="H498" s="203"/>
      <c r="I498" s="203"/>
      <c r="J498" s="203"/>
      <c r="K498" s="204">
        <f t="shared" si="35"/>
        <v>9245000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302925.25-50662.5-42131.25</f>
        <v>210131.5</v>
      </c>
      <c r="G499" s="18">
        <f>4068483.11-191643.11</f>
        <v>3876840</v>
      </c>
      <c r="H499" s="18"/>
      <c r="I499" s="18"/>
      <c r="J499" s="18"/>
      <c r="K499" s="53">
        <f t="shared" si="35"/>
        <v>4086971.5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1815131.5</v>
      </c>
      <c r="G500" s="42">
        <f>SUM(G498:G499)</f>
        <v>11516840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13331971.5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325000</v>
      </c>
      <c r="G501" s="203">
        <v>0</v>
      </c>
      <c r="H501" s="203"/>
      <c r="I501" s="203"/>
      <c r="J501" s="203"/>
      <c r="K501" s="204">
        <f t="shared" si="35"/>
        <v>325000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42131.25+33600</f>
        <v>75731.25</v>
      </c>
      <c r="G502" s="18">
        <f>165845*2</f>
        <v>331690</v>
      </c>
      <c r="H502" s="18"/>
      <c r="I502" s="18"/>
      <c r="J502" s="18"/>
      <c r="K502" s="53">
        <f t="shared" si="35"/>
        <v>407421.25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400731.25</v>
      </c>
      <c r="G503" s="42">
        <f>SUM(G501:G502)</f>
        <v>331690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732421.25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96057</v>
      </c>
      <c r="G507" s="144"/>
      <c r="H507" s="144">
        <v>3054</v>
      </c>
      <c r="I507" s="144">
        <f>F507+G507-H507</f>
        <v>93003</v>
      </c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208321+117647.24+14213.67+28550+70294.3+1344.24</f>
        <v>440370.44999999995</v>
      </c>
      <c r="G521" s="18">
        <f>97756.86+23075.57+2128.9+8119.58+13939.97+180.54</f>
        <v>145201.41999999998</v>
      </c>
      <c r="H521" s="18">
        <f>5392.5+437.8+5392.5+415.33</f>
        <v>11638.13</v>
      </c>
      <c r="I521" s="18">
        <f>3228.56+819.17</f>
        <v>4047.73</v>
      </c>
      <c r="J521" s="18">
        <f>1601.04+467.22+549.45</f>
        <v>2617.71</v>
      </c>
      <c r="K521" s="18">
        <f>(7226.72+1570.8)*0.47</f>
        <v>4134.8343999999997</v>
      </c>
      <c r="L521" s="88">
        <f>SUM(F521:K521)</f>
        <v>608010.27439999988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51299.96+76038.11+3115.51+19950*0.4</f>
        <v>138433.58000000002</v>
      </c>
      <c r="G522" s="18">
        <f>29322.51+24101.81+745.7+1635.9*0.4</f>
        <v>54824.38</v>
      </c>
      <c r="H522" s="18">
        <f>135+155+31973.33</f>
        <v>32263.33</v>
      </c>
      <c r="I522" s="18">
        <f>479.3+59.31+1200*0.4</f>
        <v>1018.61</v>
      </c>
      <c r="J522" s="18">
        <f>1226.08</f>
        <v>1226.08</v>
      </c>
      <c r="K522" s="18">
        <f>(7226.72+1570.8)*0.205</f>
        <v>1803.4916000000001</v>
      </c>
      <c r="L522" s="88">
        <f>SUM(F522:K522)</f>
        <v>229569.47160000002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70250.04+51140.65+1039.49+19950*0.6</f>
        <v>134400.18</v>
      </c>
      <c r="G523" s="18">
        <f>36305.35+11617.14+321.58+196.86+1635.9*0.6</f>
        <v>49422.47</v>
      </c>
      <c r="H523" s="18">
        <f>1260+339112.24</f>
        <v>340372.24</v>
      </c>
      <c r="I523" s="18">
        <f>1274.07+559.92+1200*0.6</f>
        <v>2553.9899999999998</v>
      </c>
      <c r="J523" s="18">
        <f>732.19</f>
        <v>732.19</v>
      </c>
      <c r="K523" s="18">
        <f>(7226.72+1570.8)*0.325</f>
        <v>2859.1940000000004</v>
      </c>
      <c r="L523" s="88">
        <f>SUM(F523:K523)</f>
        <v>530340.26399999997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713204.21</v>
      </c>
      <c r="G524" s="108">
        <f t="shared" ref="G524:L524" si="36">SUM(G521:G523)</f>
        <v>249448.27</v>
      </c>
      <c r="H524" s="108">
        <f t="shared" si="36"/>
        <v>384273.7</v>
      </c>
      <c r="I524" s="108">
        <f t="shared" si="36"/>
        <v>7620.33</v>
      </c>
      <c r="J524" s="108">
        <f t="shared" si="36"/>
        <v>4575.9799999999996</v>
      </c>
      <c r="K524" s="108">
        <f t="shared" si="36"/>
        <v>8797.52</v>
      </c>
      <c r="L524" s="89">
        <f t="shared" si="36"/>
        <v>1367920.0099999998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(228538.42)*0.47+37270.08</f>
        <v>144683.13740000001</v>
      </c>
      <c r="G526" s="18">
        <f>91704.2*0.47+16445.87</f>
        <v>59546.843999999997</v>
      </c>
      <c r="H526" s="18">
        <f>(4687.5+1466.1)*0.47+2750+1358+53881+1508+42020+15356.17+1500+476+12429+7072+13200+4270.47+23455+9819+19607+500</f>
        <v>212093.83200000002</v>
      </c>
      <c r="I526" s="18">
        <f>(507.61+964.13)*0.47+500+462.04+2562.16</f>
        <v>4215.9177999999993</v>
      </c>
      <c r="J526" s="18">
        <f>194.25*0.47+600</f>
        <v>691.29750000000001</v>
      </c>
      <c r="K526" s="18"/>
      <c r="L526" s="88">
        <f>SUM(F526:K526)</f>
        <v>421231.02869999997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(228538.42)*0.205</f>
        <v>46850.376100000001</v>
      </c>
      <c r="G527" s="18">
        <f>91704.2*0.205</f>
        <v>18799.360999999997</v>
      </c>
      <c r="H527" s="18">
        <f>(4687.5+1466.1)*0.205+2000+881+1459.09+150+8225</f>
        <v>13976.578000000001</v>
      </c>
      <c r="I527" s="18">
        <f>(507.61+964.13)*0.205</f>
        <v>301.70670000000001</v>
      </c>
      <c r="J527" s="18">
        <f>194.25*0.205</f>
        <v>39.821249999999999</v>
      </c>
      <c r="K527" s="18"/>
      <c r="L527" s="88">
        <f>SUM(F527:K527)</f>
        <v>79967.843049999996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(228538.42)*0.325</f>
        <v>74274.986500000014</v>
      </c>
      <c r="G528" s="18">
        <f>91704.2*0.325</f>
        <v>29803.865000000002</v>
      </c>
      <c r="H528" s="18">
        <f>(4687.5+1466.1)*0.325+1000+2715+9267+831.5+533.95</f>
        <v>16347.37</v>
      </c>
      <c r="I528" s="18">
        <f>(507.61+964.13)*0.325</f>
        <v>478.31550000000004</v>
      </c>
      <c r="J528" s="18">
        <f>194.25*0.325</f>
        <v>63.131250000000001</v>
      </c>
      <c r="K528" s="18"/>
      <c r="L528" s="88">
        <f>SUM(F528:K528)</f>
        <v>120967.66825000002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265808.5</v>
      </c>
      <c r="G529" s="89">
        <f t="shared" ref="G529:L529" si="37">SUM(G526:G528)</f>
        <v>108150.06999999999</v>
      </c>
      <c r="H529" s="89">
        <f t="shared" si="37"/>
        <v>242417.78000000003</v>
      </c>
      <c r="I529" s="89">
        <f t="shared" si="37"/>
        <v>4995.9399999999987</v>
      </c>
      <c r="J529" s="89">
        <f t="shared" si="37"/>
        <v>794.25</v>
      </c>
      <c r="K529" s="89">
        <f t="shared" si="37"/>
        <v>0</v>
      </c>
      <c r="L529" s="89">
        <f t="shared" si="37"/>
        <v>622166.53999999992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(62577+110882.9)*0.47</f>
        <v>81526.152999999991</v>
      </c>
      <c r="G531" s="18">
        <f>(28796.2+61024.37)*0.47</f>
        <v>42215.6679</v>
      </c>
      <c r="H531" s="18">
        <f>(1141.94+7302.12+2551.71+319.44+2450.6)*0.47</f>
        <v>6469.9306999999999</v>
      </c>
      <c r="I531" s="18">
        <f>625.99*0.47</f>
        <v>294.21530000000001</v>
      </c>
      <c r="J531" s="18">
        <f>125*0.47</f>
        <v>58.75</v>
      </c>
      <c r="K531" s="18"/>
      <c r="L531" s="88">
        <f>SUM(F531:K531)</f>
        <v>130564.71689999998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(62577+110882.9)*0.205</f>
        <v>35559.279499999997</v>
      </c>
      <c r="G532" s="18">
        <f>(28796.2+61024.37)*0.205</f>
        <v>18413.216850000001</v>
      </c>
      <c r="H532" s="18">
        <f>(1141.94+7302.12+2551.71+319.44+2450.6)*0.205</f>
        <v>2821.9910500000001</v>
      </c>
      <c r="I532" s="18">
        <f>625.99*0.205</f>
        <v>128.32794999999999</v>
      </c>
      <c r="J532" s="18">
        <f>125*0.205</f>
        <v>25.625</v>
      </c>
      <c r="K532" s="18"/>
      <c r="L532" s="88">
        <f>SUM(F532:K532)</f>
        <v>56948.440349999997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(62577+110882.9)*0.325</f>
        <v>56374.467499999999</v>
      </c>
      <c r="G533" s="18">
        <f>(28796.2+61024.37)*0.325</f>
        <v>29191.685250000002</v>
      </c>
      <c r="H533" s="18">
        <f>(1141.94+7302.12+2551.71+319.44+2450.6)*0.325</f>
        <v>4473.8882500000009</v>
      </c>
      <c r="I533" s="18">
        <f>625.99*0.325</f>
        <v>203.44675000000001</v>
      </c>
      <c r="J533" s="18">
        <f>125*0.325</f>
        <v>40.625</v>
      </c>
      <c r="K533" s="18"/>
      <c r="L533" s="88">
        <f>SUM(F533:K533)</f>
        <v>90284.112750000015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173459.9</v>
      </c>
      <c r="G534" s="89">
        <f t="shared" ref="G534:L534" si="38">SUM(G531:G533)</f>
        <v>89820.57</v>
      </c>
      <c r="H534" s="89">
        <f t="shared" si="38"/>
        <v>13765.810000000001</v>
      </c>
      <c r="I534" s="89">
        <f t="shared" si="38"/>
        <v>625.99</v>
      </c>
      <c r="J534" s="89">
        <f t="shared" si="38"/>
        <v>125</v>
      </c>
      <c r="K534" s="89">
        <f t="shared" si="38"/>
        <v>0</v>
      </c>
      <c r="L534" s="89">
        <f t="shared" si="38"/>
        <v>277797.27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1024.8+460.23</f>
        <v>1485.03</v>
      </c>
      <c r="I536" s="18"/>
      <c r="J536" s="18"/>
      <c r="K536" s="18"/>
      <c r="L536" s="88">
        <f>SUM(F536:K536)</f>
        <v>1485.03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566.6</f>
        <v>566.6</v>
      </c>
      <c r="I537" s="18"/>
      <c r="J537" s="18"/>
      <c r="K537" s="18"/>
      <c r="L537" s="88">
        <f>SUM(F537:K537)</f>
        <v>566.6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893.85</v>
      </c>
      <c r="I538" s="18"/>
      <c r="J538" s="18"/>
      <c r="K538" s="18"/>
      <c r="L538" s="88">
        <f>SUM(F538:K538)</f>
        <v>893.85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2945.48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2945.48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13292.4+9143.37</f>
        <v>22435.77</v>
      </c>
      <c r="I541" s="18"/>
      <c r="J541" s="18"/>
      <c r="K541" s="18"/>
      <c r="L541" s="88">
        <f>SUM(F541:K541)</f>
        <v>22435.77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20233.84</f>
        <v>20233.84</v>
      </c>
      <c r="I542" s="18"/>
      <c r="J542" s="18"/>
      <c r="K542" s="18"/>
      <c r="L542" s="88">
        <f>SUM(F542:K542)</f>
        <v>20233.84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44818.71</v>
      </c>
      <c r="I543" s="18"/>
      <c r="J543" s="18"/>
      <c r="K543" s="18"/>
      <c r="L543" s="88">
        <f>SUM(F543:K543)</f>
        <v>44818.71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87488.320000000007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87488.320000000007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1152472.6099999999</v>
      </c>
      <c r="G545" s="89">
        <f t="shared" ref="G545:L545" si="41">G524+G529+G534+G539+G544</f>
        <v>447418.91</v>
      </c>
      <c r="H545" s="89">
        <f t="shared" si="41"/>
        <v>730891.09000000008</v>
      </c>
      <c r="I545" s="89">
        <f t="shared" si="41"/>
        <v>13242.259999999998</v>
      </c>
      <c r="J545" s="89">
        <f t="shared" si="41"/>
        <v>5495.23</v>
      </c>
      <c r="K545" s="89">
        <f t="shared" si="41"/>
        <v>8797.52</v>
      </c>
      <c r="L545" s="89">
        <f t="shared" si="41"/>
        <v>2358317.6199999996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608010.27439999988</v>
      </c>
      <c r="G549" s="87">
        <f>L526</f>
        <v>421231.02869999997</v>
      </c>
      <c r="H549" s="87">
        <f>L531</f>
        <v>130564.71689999998</v>
      </c>
      <c r="I549" s="87">
        <f>L536</f>
        <v>1485.03</v>
      </c>
      <c r="J549" s="87">
        <f>L541</f>
        <v>22435.77</v>
      </c>
      <c r="K549" s="87">
        <f>SUM(F549:J549)</f>
        <v>1183726.8199999998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229569.47160000002</v>
      </c>
      <c r="G550" s="87">
        <f>L527</f>
        <v>79967.843049999996</v>
      </c>
      <c r="H550" s="87">
        <f>L532</f>
        <v>56948.440349999997</v>
      </c>
      <c r="I550" s="87">
        <f>L537</f>
        <v>566.6</v>
      </c>
      <c r="J550" s="87">
        <f>L542</f>
        <v>20233.84</v>
      </c>
      <c r="K550" s="87">
        <f>SUM(F550:J550)</f>
        <v>387286.19500000001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530340.26399999997</v>
      </c>
      <c r="G551" s="87">
        <f>L528</f>
        <v>120967.66825000002</v>
      </c>
      <c r="H551" s="87">
        <f>L533</f>
        <v>90284.112750000015</v>
      </c>
      <c r="I551" s="87">
        <f>L538</f>
        <v>893.85</v>
      </c>
      <c r="J551" s="87">
        <f>L543</f>
        <v>44818.71</v>
      </c>
      <c r="K551" s="87">
        <f>SUM(F551:J551)</f>
        <v>787304.60499999986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1367920.0099999998</v>
      </c>
      <c r="G552" s="89">
        <f t="shared" si="42"/>
        <v>622166.53999999992</v>
      </c>
      <c r="H552" s="89">
        <f t="shared" si="42"/>
        <v>277797.27</v>
      </c>
      <c r="I552" s="89">
        <f t="shared" si="42"/>
        <v>2945.48</v>
      </c>
      <c r="J552" s="89">
        <f t="shared" si="42"/>
        <v>87488.320000000007</v>
      </c>
      <c r="K552" s="89">
        <f t="shared" si="42"/>
        <v>2358317.6199999996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2500.04</f>
        <v>2500.04</v>
      </c>
      <c r="G562" s="18">
        <v>191.26</v>
      </c>
      <c r="H562" s="18">
        <f>1581.31</f>
        <v>1581.31</v>
      </c>
      <c r="I562" s="18"/>
      <c r="J562" s="18"/>
      <c r="K562" s="18"/>
      <c r="L562" s="88">
        <f>SUM(F562:K562)</f>
        <v>4272.6100000000006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2500.04</v>
      </c>
      <c r="G563" s="18">
        <v>191.26</v>
      </c>
      <c r="H563" s="18"/>
      <c r="I563" s="18"/>
      <c r="J563" s="18"/>
      <c r="K563" s="18"/>
      <c r="L563" s="88">
        <f>SUM(F563:K563)</f>
        <v>2691.3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2741.67</v>
      </c>
      <c r="G564" s="18">
        <v>209.7</v>
      </c>
      <c r="H564" s="18"/>
      <c r="I564" s="18"/>
      <c r="J564" s="18"/>
      <c r="K564" s="18"/>
      <c r="L564" s="88">
        <f>SUM(F564:K564)</f>
        <v>2951.37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7741.75</v>
      </c>
      <c r="G565" s="89">
        <f t="shared" si="44"/>
        <v>592.22</v>
      </c>
      <c r="H565" s="89">
        <f t="shared" si="44"/>
        <v>1581.31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9915.2800000000007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7741.75</v>
      </c>
      <c r="G571" s="89">
        <f t="shared" ref="G571:L571" si="46">G560+G565+G570</f>
        <v>592.22</v>
      </c>
      <c r="H571" s="89">
        <f t="shared" si="46"/>
        <v>1581.31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9915.2800000000007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f>31973.33*2</f>
        <v>63946.66</v>
      </c>
      <c r="H579" s="18">
        <f>50558.72</f>
        <v>50558.720000000001</v>
      </c>
      <c r="I579" s="87">
        <f t="shared" si="47"/>
        <v>114505.38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f>213886.35+42693.84</f>
        <v>256580.19</v>
      </c>
      <c r="I582" s="87">
        <f t="shared" si="47"/>
        <v>256580.19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1336.64+15184.68</f>
        <v>16521.32</v>
      </c>
      <c r="I584" s="87">
        <f t="shared" si="47"/>
        <v>16521.32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116315.15+93002.85</f>
        <v>209318</v>
      </c>
      <c r="I591" s="18"/>
      <c r="J591" s="18"/>
      <c r="K591" s="104">
        <f t="shared" ref="K591:K597" si="48">SUM(H591:J591)</f>
        <v>209318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13292.4+9143.37</f>
        <v>22435.77</v>
      </c>
      <c r="I592" s="18">
        <f>20233.84</f>
        <v>20233.84</v>
      </c>
      <c r="J592" s="18">
        <f>44818.71</f>
        <v>44818.71</v>
      </c>
      <c r="K592" s="104">
        <f t="shared" si="48"/>
        <v>87488.320000000007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22854+1170</f>
        <v>24024</v>
      </c>
      <c r="K593" s="104">
        <f t="shared" si="48"/>
        <v>24024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16888.35+546.96</f>
        <v>17435.309999999998</v>
      </c>
      <c r="J594" s="18">
        <f>25332.54+820.43</f>
        <v>26152.97</v>
      </c>
      <c r="K594" s="104">
        <f t="shared" si="48"/>
        <v>43588.28</v>
      </c>
      <c r="L594" s="24" t="s">
        <v>289</v>
      </c>
      <c r="M594" s="8"/>
      <c r="N594" s="271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2077.55+3323.51</f>
        <v>5401.06</v>
      </c>
      <c r="I595" s="18">
        <f>2499.18+206.15</f>
        <v>2705.33</v>
      </c>
      <c r="J595" s="18">
        <f>1725.21+431.73</f>
        <v>2156.94</v>
      </c>
      <c r="K595" s="104">
        <f t="shared" si="48"/>
        <v>10263.33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237154.83</v>
      </c>
      <c r="I598" s="108">
        <f>SUM(I591:I597)</f>
        <v>40374.479999999996</v>
      </c>
      <c r="J598" s="108">
        <f>SUM(J591:J597)</f>
        <v>97152.62</v>
      </c>
      <c r="K598" s="108">
        <f>SUM(K591:K597)</f>
        <v>374681.93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11920.51+7421.87+179.99+194.25+(132.18+549.45+213)*0.47+13200.33+379+2042.23+600</f>
        <v>36358.656100000007</v>
      </c>
      <c r="I604" s="18">
        <f>5473.43+1862.08+673.43+(132.18+549.45+213)*0.205+11375.04+8890+1691.42</f>
        <v>30148.799149999999</v>
      </c>
      <c r="J604" s="18">
        <f>7540.82+2793.12+(132.18+549.45+213)*0.325+49153.82+7710+3467.7+7147.42</f>
        <v>78103.634749999997</v>
      </c>
      <c r="K604" s="104">
        <f>SUM(H604:J604)</f>
        <v>144611.09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36358.656100000007</v>
      </c>
      <c r="I605" s="108">
        <f>SUM(I602:I604)</f>
        <v>30148.799149999999</v>
      </c>
      <c r="J605" s="108">
        <f>SUM(J602:J604)</f>
        <v>78103.634749999997</v>
      </c>
      <c r="K605" s="108">
        <f>SUM(K602:K604)</f>
        <v>144611.09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14213.67+1344.24</f>
        <v>15557.91</v>
      </c>
      <c r="G611" s="18">
        <f>1087.36+845.35+196.19+102.83+77.71</f>
        <v>2309.44</v>
      </c>
      <c r="H611" s="18">
        <f>5392.5*2</f>
        <v>10785</v>
      </c>
      <c r="I611" s="18"/>
      <c r="J611" s="18"/>
      <c r="K611" s="18"/>
      <c r="L611" s="88">
        <f>SUM(F611:K611)</f>
        <v>28652.35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3115.51</f>
        <v>3115.51</v>
      </c>
      <c r="G612" s="18">
        <f>3861.21-3115.51</f>
        <v>745.69999999999982</v>
      </c>
      <c r="H612" s="18"/>
      <c r="I612" s="18"/>
      <c r="J612" s="18"/>
      <c r="K612" s="18"/>
      <c r="L612" s="88">
        <f>SUM(F612:K612)</f>
        <v>3861.21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1039.49</f>
        <v>1039.49</v>
      </c>
      <c r="G613" s="18">
        <f>1361.07-1039.49</f>
        <v>321.57999999999993</v>
      </c>
      <c r="H613" s="18"/>
      <c r="I613" s="18"/>
      <c r="J613" s="18"/>
      <c r="K613" s="18"/>
      <c r="L613" s="88">
        <f>SUM(F613:K613)</f>
        <v>1361.07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19712.91</v>
      </c>
      <c r="G614" s="108">
        <f t="shared" si="49"/>
        <v>3376.72</v>
      </c>
      <c r="H614" s="108">
        <f t="shared" si="49"/>
        <v>10785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33874.629999999997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631120.65999999992</v>
      </c>
      <c r="H617" s="109">
        <f>SUM(F52)</f>
        <v>631120.66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27993.489999999998</v>
      </c>
      <c r="H618" s="109">
        <f>SUM(G52)</f>
        <v>27993.489999999998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27343.11</v>
      </c>
      <c r="H619" s="109">
        <f>SUM(H52)</f>
        <v>27343.109999999997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4190046.25</v>
      </c>
      <c r="H620" s="109">
        <f>SUM(I52)</f>
        <v>4190046.25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486822.66</v>
      </c>
      <c r="H621" s="109">
        <f>SUM(J52)</f>
        <v>486822.66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473465.13</v>
      </c>
      <c r="H622" s="109">
        <f>F476</f>
        <v>473465.12999999896</v>
      </c>
      <c r="I622" s="121" t="s">
        <v>101</v>
      </c>
      <c r="J622" s="109">
        <f t="shared" ref="J622:J655" si="50">G622-H622</f>
        <v>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-36648.54</v>
      </c>
      <c r="H623" s="109">
        <f>G476</f>
        <v>-36648.540000000008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2933.44</v>
      </c>
      <c r="H624" s="109">
        <f>H476</f>
        <v>2933.4400000000023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4145628.81</v>
      </c>
      <c r="H625" s="109">
        <f>I476</f>
        <v>4145628.8099999996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486822.66</v>
      </c>
      <c r="H626" s="109">
        <f>J476</f>
        <v>486822.66000000003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11053897.08</v>
      </c>
      <c r="H627" s="104">
        <f>SUM(F468)</f>
        <v>11053897.08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230993.71999999997</v>
      </c>
      <c r="H628" s="104">
        <f>SUM(G468)</f>
        <v>230993.72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338671.62</v>
      </c>
      <c r="H629" s="104">
        <f>SUM(H468)</f>
        <v>338671.62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8270665.9699999997</v>
      </c>
      <c r="H630" s="104">
        <f>SUM(I468)</f>
        <v>8270665.9699999997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1316.51</v>
      </c>
      <c r="H631" s="104">
        <f>SUM(J468)</f>
        <v>1316.51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11123605.839999998</v>
      </c>
      <c r="H632" s="104">
        <f>SUM(F472)</f>
        <v>11123605.84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336187.54</v>
      </c>
      <c r="H633" s="104">
        <f>SUM(H472)</f>
        <v>336187.54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91418.41</v>
      </c>
      <c r="H634" s="104">
        <f>I369</f>
        <v>91418.409999999989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230993.71999999997</v>
      </c>
      <c r="H635" s="104">
        <f>SUM(G472)</f>
        <v>230993.72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4021384.83</v>
      </c>
      <c r="H636" s="104">
        <f>SUM(I472)</f>
        <v>4021384.83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1316.51</v>
      </c>
      <c r="H637" s="164">
        <f>SUM(J468)</f>
        <v>1316.51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486822.66</v>
      </c>
      <c r="H639" s="104">
        <f>SUM(F461)</f>
        <v>486822.66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486822.66</v>
      </c>
      <c r="H642" s="104">
        <f>SUM(I461)</f>
        <v>486822.66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1185.48</v>
      </c>
      <c r="H644" s="104">
        <f>H408</f>
        <v>1185.48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1316.51</v>
      </c>
      <c r="H646" s="104">
        <f>L408</f>
        <v>1316.51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374681.93</v>
      </c>
      <c r="H647" s="104">
        <f>L208+L226+L244</f>
        <v>374681.93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144611.09</v>
      </c>
      <c r="H648" s="104">
        <f>(J257+J338)-(J255+J336)</f>
        <v>144611.09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237154.83</v>
      </c>
      <c r="H649" s="104">
        <f>H598</f>
        <v>237154.83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40374.480000000003</v>
      </c>
      <c r="H650" s="104">
        <f>I598</f>
        <v>40374.479999999996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97152.62</v>
      </c>
      <c r="H651" s="104">
        <f>J598</f>
        <v>97152.62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39801.919999999998</v>
      </c>
      <c r="H652" s="104">
        <f>K263+K345</f>
        <v>39801.919999999998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4904632.9838999994</v>
      </c>
      <c r="G660" s="19">
        <f>(L229+L309+L359)</f>
        <v>2220716.4008499999</v>
      </c>
      <c r="H660" s="19">
        <f>(L247+L328+L360)</f>
        <v>3916198.9352499996</v>
      </c>
      <c r="I660" s="19">
        <f>SUM(F660:H660)</f>
        <v>11041548.319999998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49553.521439565127</v>
      </c>
      <c r="G661" s="19">
        <f>(L359/IF(SUM(L358:L360)=0,1,SUM(L358:L360))*(SUM(G97:G110)))</f>
        <v>19789.984421358746</v>
      </c>
      <c r="H661" s="19">
        <f>(L360/IF(SUM(L358:L360)=0,1,SUM(L358:L360))*(SUM(G97:G110)))</f>
        <v>30861.484139076125</v>
      </c>
      <c r="I661" s="19">
        <f>SUM(F661:H661)</f>
        <v>100204.99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237154.83</v>
      </c>
      <c r="G662" s="19">
        <f>(L226+L306)-(J226+J306)</f>
        <v>40374.480000000003</v>
      </c>
      <c r="H662" s="19">
        <f>(L244+L325)-(J244+J325)</f>
        <v>97152.62</v>
      </c>
      <c r="I662" s="19">
        <f>SUM(F662:H662)</f>
        <v>374681.93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65011.006100000006</v>
      </c>
      <c r="G663" s="198">
        <f>SUM(G575:G587)+SUM(I602:I604)+L612</f>
        <v>97956.669150000016</v>
      </c>
      <c r="H663" s="198">
        <f>SUM(H575:H587)+SUM(J602:J604)+L613</f>
        <v>403124.93475000007</v>
      </c>
      <c r="I663" s="19">
        <f>SUM(F663:H663)</f>
        <v>566092.6100000001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4552913.6263604341</v>
      </c>
      <c r="G664" s="19">
        <f>G660-SUM(G661:G663)</f>
        <v>2062595.267278641</v>
      </c>
      <c r="H664" s="19">
        <f>H660-SUM(H661:H663)</f>
        <v>3385059.8963609235</v>
      </c>
      <c r="I664" s="19">
        <f>I660-SUM(I661:I663)</f>
        <v>10000568.789999999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247.99</v>
      </c>
      <c r="G665" s="247">
        <v>120.67</v>
      </c>
      <c r="H665" s="247">
        <v>192.94</v>
      </c>
      <c r="I665" s="19">
        <f>SUM(F665:H665)</f>
        <v>561.6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18359.259999999998</v>
      </c>
      <c r="G667" s="19">
        <f>ROUND(G664/G665,2)</f>
        <v>17092.86</v>
      </c>
      <c r="H667" s="19">
        <f>ROUND(H664/H665,2)</f>
        <v>17544.62</v>
      </c>
      <c r="I667" s="19">
        <f>ROUND(I664/I665,2)</f>
        <v>17807.28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-3.83</v>
      </c>
      <c r="I670" s="19">
        <f>SUM(F670:H670)</f>
        <v>-3.83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18359.259999999998</v>
      </c>
      <c r="G672" s="19">
        <f>ROUND((G664+G669)/(G665+G670),2)</f>
        <v>17092.86</v>
      </c>
      <c r="H672" s="19">
        <f>ROUND((H664+H669)/(H665+H670),2)</f>
        <v>17899.95</v>
      </c>
      <c r="I672" s="19">
        <f>ROUND((I664+I669)/(I665+I670),2)</f>
        <v>17929.560000000001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25" right="0.25" top="0.5" bottom="0.5" header="0.25" footer="0.25"/>
  <pageSetup scale="82" fitToHeight="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8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Wilton-Lyndeborough Cooperative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6" t="s">
        <v>784</v>
      </c>
      <c r="B3" s="276"/>
      <c r="C3" s="276"/>
    </row>
    <row r="4" spans="1:3" x14ac:dyDescent="0.2">
      <c r="A4" s="235"/>
      <c r="B4" s="236" t="str">
        <f>'DOE25'!H1</f>
        <v>DOE 25  2014-2015</v>
      </c>
      <c r="C4" s="235"/>
    </row>
    <row r="5" spans="1:3" x14ac:dyDescent="0.2">
      <c r="A5" s="232"/>
      <c r="B5" s="231"/>
    </row>
    <row r="6" spans="1:3" x14ac:dyDescent="0.2">
      <c r="A6" s="226"/>
      <c r="B6" s="275" t="s">
        <v>783</v>
      </c>
      <c r="C6" s="275"/>
    </row>
    <row r="7" spans="1:3" x14ac:dyDescent="0.2">
      <c r="A7" s="238" t="s">
        <v>786</v>
      </c>
      <c r="B7" s="273" t="s">
        <v>782</v>
      </c>
      <c r="C7" s="274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3220771.14</v>
      </c>
      <c r="C9" s="228">
        <f>'DOE25'!G197+'DOE25'!G215+'DOE25'!G233+'DOE25'!G276+'DOE25'!G295+'DOE25'!G314</f>
        <v>1361951.55</v>
      </c>
    </row>
    <row r="10" spans="1:3" x14ac:dyDescent="0.2">
      <c r="A10" t="s">
        <v>779</v>
      </c>
      <c r="B10" s="239">
        <f>2989937.72+16500</f>
        <v>3006437.72</v>
      </c>
      <c r="C10" s="239">
        <f>1291494.21+3039.3</f>
        <v>1294533.51</v>
      </c>
    </row>
    <row r="11" spans="1:3" x14ac:dyDescent="0.2">
      <c r="A11" t="s">
        <v>780</v>
      </c>
      <c r="B11" s="239">
        <f>79292+44381.42+1720</f>
        <v>125393.42</v>
      </c>
      <c r="C11" s="239">
        <f>26223+31325.52+1696.92+11.09</f>
        <v>59256.53</v>
      </c>
    </row>
    <row r="12" spans="1:3" x14ac:dyDescent="0.2">
      <c r="A12" t="s">
        <v>781</v>
      </c>
      <c r="B12" s="239">
        <f>88940</f>
        <v>88940</v>
      </c>
      <c r="C12" s="239">
        <f>8071.69+89.82</f>
        <v>8161.5099999999993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3220771.14</v>
      </c>
      <c r="C13" s="230">
        <f>SUM(C10:C12)</f>
        <v>1361951.55</v>
      </c>
    </row>
    <row r="14" spans="1:3" x14ac:dyDescent="0.2">
      <c r="B14" s="229"/>
      <c r="C14" s="229"/>
    </row>
    <row r="15" spans="1:3" x14ac:dyDescent="0.2">
      <c r="B15" s="275" t="s">
        <v>783</v>
      </c>
      <c r="C15" s="275"/>
    </row>
    <row r="16" spans="1:3" x14ac:dyDescent="0.2">
      <c r="A16" s="238" t="s">
        <v>787</v>
      </c>
      <c r="B16" s="273" t="s">
        <v>707</v>
      </c>
      <c r="C16" s="274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720945.96</v>
      </c>
      <c r="C18" s="228">
        <f>'DOE25'!G198+'DOE25'!G216+'DOE25'!G234+'DOE25'!G277+'DOE25'!G296+'DOE25'!G315</f>
        <v>250040.49000000002</v>
      </c>
    </row>
    <row r="19" spans="1:3" x14ac:dyDescent="0.2">
      <c r="A19" t="s">
        <v>779</v>
      </c>
      <c r="B19" s="239">
        <f>358421</f>
        <v>358421</v>
      </c>
      <c r="C19" s="239">
        <v>171504.3</v>
      </c>
    </row>
    <row r="20" spans="1:3" x14ac:dyDescent="0.2">
      <c r="A20" t="s">
        <v>780</v>
      </c>
      <c r="B20" s="239">
        <f>315120.3+19712.91+7741.75+19950</f>
        <v>362524.95999999996</v>
      </c>
      <c r="C20" s="239">
        <f>72734.49+3376.72+196.86+592.22+1635.9</f>
        <v>78536.19</v>
      </c>
    </row>
    <row r="21" spans="1:3" x14ac:dyDescent="0.2">
      <c r="A21" t="s">
        <v>781</v>
      </c>
      <c r="B21" s="239"/>
      <c r="C21" s="239"/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720945.96</v>
      </c>
      <c r="C22" s="230">
        <f>SUM(C19:C21)</f>
        <v>250040.49</v>
      </c>
    </row>
    <row r="23" spans="1:3" x14ac:dyDescent="0.2">
      <c r="B23" s="229"/>
      <c r="C23" s="229"/>
    </row>
    <row r="24" spans="1:3" x14ac:dyDescent="0.2">
      <c r="B24" s="275" t="s">
        <v>783</v>
      </c>
      <c r="C24" s="275"/>
    </row>
    <row r="25" spans="1:3" x14ac:dyDescent="0.2">
      <c r="A25" s="238" t="s">
        <v>788</v>
      </c>
      <c r="B25" s="273" t="s">
        <v>708</v>
      </c>
      <c r="C25" s="274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8" t="s">
        <v>789</v>
      </c>
      <c r="B34" s="273" t="s">
        <v>709</v>
      </c>
      <c r="C34" s="274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82338.75</v>
      </c>
      <c r="C36" s="234">
        <f>'DOE25'!G200+'DOE25'!G218+'DOE25'!G236+'DOE25'!G279+'DOE25'!G298+'DOE25'!G317</f>
        <v>11840.4</v>
      </c>
    </row>
    <row r="37" spans="1:3" x14ac:dyDescent="0.2">
      <c r="A37" t="s">
        <v>779</v>
      </c>
      <c r="B37" s="239">
        <v>42875</v>
      </c>
      <c r="C37" s="239">
        <v>8634.4</v>
      </c>
    </row>
    <row r="38" spans="1:3" x14ac:dyDescent="0.2">
      <c r="A38" t="s">
        <v>780</v>
      </c>
      <c r="B38" s="239">
        <f>239.75+2025+884+3097+390+1138+260+1220+225+450+410</f>
        <v>10338.75</v>
      </c>
      <c r="C38" s="239">
        <v>790.91</v>
      </c>
    </row>
    <row r="39" spans="1:3" x14ac:dyDescent="0.2">
      <c r="A39" t="s">
        <v>781</v>
      </c>
      <c r="B39" s="239">
        <f>1020+2728+3097+1271+1700+1060.8+1700+2120+2685+1100+1100+680+1042+1004+1000+707.2+1891+1569+1100+275+275</f>
        <v>29125</v>
      </c>
      <c r="C39" s="239">
        <v>2415.09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82338.75</v>
      </c>
      <c r="C40" s="230">
        <f>SUM(C37:C39)</f>
        <v>11840.4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FY2014-2015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717</v>
      </c>
      <c r="B2" s="264" t="str">
        <f>'DOE25'!A2</f>
        <v>Wilton-Lyndeborough Cooperative School District</v>
      </c>
      <c r="C2" s="180"/>
      <c r="D2" s="180" t="s">
        <v>792</v>
      </c>
      <c r="E2" s="180" t="s">
        <v>794</v>
      </c>
      <c r="F2" s="277" t="s">
        <v>821</v>
      </c>
      <c r="G2" s="278"/>
      <c r="H2" s="27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6297119.2999999998</v>
      </c>
      <c r="D5" s="20">
        <f>SUM('DOE25'!L197:L200)+SUM('DOE25'!L215:L218)+SUM('DOE25'!L233:L236)-F5-G5</f>
        <v>6185857.4900000002</v>
      </c>
      <c r="E5" s="242"/>
      <c r="F5" s="254">
        <f>SUM('DOE25'!J197:J200)+SUM('DOE25'!J215:J218)+SUM('DOE25'!J233:J236)</f>
        <v>89979.670000000013</v>
      </c>
      <c r="G5" s="53">
        <f>SUM('DOE25'!K197:K200)+SUM('DOE25'!K215:K218)+SUM('DOE25'!K233:K236)</f>
        <v>21282.14</v>
      </c>
      <c r="H5" s="258"/>
    </row>
    <row r="6" spans="1:9" x14ac:dyDescent="0.2">
      <c r="A6" s="32">
        <v>2100</v>
      </c>
      <c r="B6" t="s">
        <v>801</v>
      </c>
      <c r="C6" s="244">
        <f t="shared" si="0"/>
        <v>1019657.28</v>
      </c>
      <c r="D6" s="20">
        <f>'DOE25'!L202+'DOE25'!L220+'DOE25'!L238-F6-G6</f>
        <v>1017690.98</v>
      </c>
      <c r="E6" s="242"/>
      <c r="F6" s="254">
        <f>'DOE25'!J202+'DOE25'!J220+'DOE25'!J238</f>
        <v>668.30000000000007</v>
      </c>
      <c r="G6" s="53">
        <f>'DOE25'!K202+'DOE25'!K220+'DOE25'!K238</f>
        <v>1298</v>
      </c>
      <c r="H6" s="258"/>
    </row>
    <row r="7" spans="1:9" x14ac:dyDescent="0.2">
      <c r="A7" s="32">
        <v>2200</v>
      </c>
      <c r="B7" t="s">
        <v>834</v>
      </c>
      <c r="C7" s="244">
        <f t="shared" si="0"/>
        <v>250595.26</v>
      </c>
      <c r="D7" s="20">
        <f>'DOE25'!L203+'DOE25'!L221+'DOE25'!L239-F7-G7</f>
        <v>250238.93000000002</v>
      </c>
      <c r="E7" s="242"/>
      <c r="F7" s="254">
        <f>'DOE25'!J203+'DOE25'!J221+'DOE25'!J239</f>
        <v>336.33</v>
      </c>
      <c r="G7" s="53">
        <f>'DOE25'!K203+'DOE25'!K221+'DOE25'!K239</f>
        <v>20</v>
      </c>
      <c r="H7" s="258"/>
    </row>
    <row r="8" spans="1:9" x14ac:dyDescent="0.2">
      <c r="A8" s="32">
        <v>2300</v>
      </c>
      <c r="B8" t="s">
        <v>802</v>
      </c>
      <c r="C8" s="244">
        <f t="shared" si="0"/>
        <v>218246.41999999987</v>
      </c>
      <c r="D8" s="242"/>
      <c r="E8" s="20">
        <f>'DOE25'!L204+'DOE25'!L222+'DOE25'!L240-F8-G8-D9-D11</f>
        <v>211891.26999999987</v>
      </c>
      <c r="F8" s="254">
        <f>'DOE25'!J204+'DOE25'!J222+'DOE25'!J240</f>
        <v>0</v>
      </c>
      <c r="G8" s="53">
        <f>'DOE25'!K204+'DOE25'!K222+'DOE25'!K240</f>
        <v>6355.1500000000005</v>
      </c>
      <c r="H8" s="258"/>
    </row>
    <row r="9" spans="1:9" x14ac:dyDescent="0.2">
      <c r="A9" s="32">
        <v>2310</v>
      </c>
      <c r="B9" t="s">
        <v>818</v>
      </c>
      <c r="C9" s="244">
        <f t="shared" si="0"/>
        <v>11783.39</v>
      </c>
      <c r="D9" s="243">
        <f>538.25+11245.14</f>
        <v>11783.39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15060.4</v>
      </c>
      <c r="D10" s="242"/>
      <c r="E10" s="243">
        <f>15060.4</f>
        <v>15060.4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203988.76000000004</v>
      </c>
      <c r="D11" s="243">
        <f>153028.42+19373.6+2359.2+342.3+389.79+11692.72+16481.06+321.67</f>
        <v>203988.76000000004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684083.96</v>
      </c>
      <c r="D12" s="20">
        <f>'DOE25'!L205+'DOE25'!L223+'DOE25'!L241-F12-G12</f>
        <v>670951.99999999988</v>
      </c>
      <c r="E12" s="242"/>
      <c r="F12" s="254">
        <f>'DOE25'!J205+'DOE25'!J223+'DOE25'!J241</f>
        <v>1023.53</v>
      </c>
      <c r="G12" s="53">
        <f>'DOE25'!K205+'DOE25'!K223+'DOE25'!K241</f>
        <v>12108.429999999998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285036.79999999993</v>
      </c>
      <c r="D13" s="242"/>
      <c r="E13" s="20">
        <f>'DOE25'!L206+'DOE25'!L224+'DOE25'!L242-F13-G13</f>
        <v>268111.03999999992</v>
      </c>
      <c r="F13" s="254">
        <f>'DOE25'!J206+'DOE25'!J224+'DOE25'!J242</f>
        <v>132.18</v>
      </c>
      <c r="G13" s="53">
        <f>'DOE25'!K206+'DOE25'!K224+'DOE25'!K242</f>
        <v>16793.580000000002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893948.46000000008</v>
      </c>
      <c r="D14" s="20">
        <f>'DOE25'!L207+'DOE25'!L225+'DOE25'!L243-F14-G14</f>
        <v>868582.38000000012</v>
      </c>
      <c r="E14" s="242"/>
      <c r="F14" s="254">
        <f>'DOE25'!J207+'DOE25'!J225+'DOE25'!J243</f>
        <v>25366.080000000002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374681.93</v>
      </c>
      <c r="D15" s="20">
        <f>'DOE25'!L208+'DOE25'!L226+'DOE25'!L244-F15-G15</f>
        <v>374681.93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235225.50000000006</v>
      </c>
      <c r="D16" s="242"/>
      <c r="E16" s="20">
        <f>'DOE25'!L209+'DOE25'!L227+'DOE25'!L245-F16-G16</f>
        <v>209482.95000000007</v>
      </c>
      <c r="F16" s="254">
        <f>'DOE25'!J209+'DOE25'!J227+'DOE25'!J245</f>
        <v>25742.55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609436.86</v>
      </c>
      <c r="D25" s="242"/>
      <c r="E25" s="242"/>
      <c r="F25" s="257"/>
      <c r="G25" s="255"/>
      <c r="H25" s="256">
        <f>'DOE25'!L260+'DOE25'!L261+'DOE25'!L341+'DOE25'!L342</f>
        <v>609436.86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148016.31</v>
      </c>
      <c r="D29" s="20">
        <f>'DOE25'!L358+'DOE25'!L359+'DOE25'!L360-'DOE25'!I367-F29-G29</f>
        <v>147417.85999999999</v>
      </c>
      <c r="E29" s="242"/>
      <c r="F29" s="254">
        <f>'DOE25'!J358+'DOE25'!J359+'DOE25'!J360</f>
        <v>15.98</v>
      </c>
      <c r="G29" s="53">
        <f>'DOE25'!K358+'DOE25'!K359+'DOE25'!K360</f>
        <v>582.47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336187.54</v>
      </c>
      <c r="D31" s="20">
        <f>'DOE25'!L290+'DOE25'!L309+'DOE25'!L328+'DOE25'!L333+'DOE25'!L334+'DOE25'!L335-F31-G31</f>
        <v>334825.08999999997</v>
      </c>
      <c r="E31" s="242"/>
      <c r="F31" s="254">
        <f>'DOE25'!J290+'DOE25'!J309+'DOE25'!J328+'DOE25'!J333+'DOE25'!J334+'DOE25'!J335</f>
        <v>1362.45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10066018.809999999</v>
      </c>
      <c r="E33" s="245">
        <f>SUM(E5:E31)</f>
        <v>704545.65999999992</v>
      </c>
      <c r="F33" s="245">
        <f>SUM(F5:F31)</f>
        <v>144627.07000000004</v>
      </c>
      <c r="G33" s="245">
        <f>SUM(G5:G31)</f>
        <v>58439.770000000004</v>
      </c>
      <c r="H33" s="245">
        <f>SUM(H5:H31)</f>
        <v>609436.86</v>
      </c>
    </row>
    <row r="35" spans="2:8" ht="12" thickBot="1" x14ac:dyDescent="0.25">
      <c r="B35" s="252" t="s">
        <v>847</v>
      </c>
      <c r="D35" s="253">
        <f>E33</f>
        <v>704545.65999999992</v>
      </c>
      <c r="E35" s="248"/>
    </row>
    <row r="36" spans="2:8" ht="12" thickTop="1" x14ac:dyDescent="0.2">
      <c r="B36" t="s">
        <v>815</v>
      </c>
      <c r="D36" s="20">
        <f>D33</f>
        <v>10066018.809999999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4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459187.05</v>
      </c>
      <c r="D8" s="95">
        <f>'DOE25'!G9</f>
        <v>19613.46</v>
      </c>
      <c r="E8" s="95">
        <f>'DOE25'!H9</f>
        <v>0</v>
      </c>
      <c r="F8" s="95">
        <f>'DOE25'!I9</f>
        <v>4190046.25</v>
      </c>
      <c r="G8" s="95">
        <f>'DOE25'!J9</f>
        <v>486822.66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120749.88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19287.18</v>
      </c>
      <c r="D12" s="95">
        <f>'DOE25'!G13</f>
        <v>2898.35</v>
      </c>
      <c r="E12" s="95">
        <f>'DOE25'!H13</f>
        <v>27343.11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29168.85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5481.68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2727.7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631120.65999999992</v>
      </c>
      <c r="D18" s="41">
        <f>SUM(D8:D17)</f>
        <v>27993.489999999998</v>
      </c>
      <c r="E18" s="41">
        <f>SUM(E8:E17)</f>
        <v>27343.11</v>
      </c>
      <c r="F18" s="41">
        <f>SUM(F8:F17)</f>
        <v>4190046.25</v>
      </c>
      <c r="G18" s="41">
        <f>SUM(G8:G17)</f>
        <v>486822.66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61073.7</v>
      </c>
      <c r="E21" s="95">
        <f>'DOE25'!H22</f>
        <v>24409.67</v>
      </c>
      <c r="F21" s="95">
        <f>'DOE25'!I22</f>
        <v>35266.51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138443.76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9150.93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17542.64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1669.13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3568.33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157655.53000000003</v>
      </c>
      <c r="D31" s="41">
        <f>SUM(D21:D30)</f>
        <v>64642.03</v>
      </c>
      <c r="E31" s="41">
        <f>SUM(E21:E30)</f>
        <v>24409.67</v>
      </c>
      <c r="F31" s="41">
        <f>SUM(F21:F30)</f>
        <v>44417.440000000002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5481.68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486822.66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-42130.22</v>
      </c>
      <c r="E47" s="95">
        <f>'DOE25'!H48</f>
        <v>2933.44</v>
      </c>
      <c r="F47" s="95">
        <f>'DOE25'!I48</f>
        <v>4145628.81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80670.19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385294.94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473465.13</v>
      </c>
      <c r="D50" s="41">
        <f>SUM(D34:D49)</f>
        <v>-36648.54</v>
      </c>
      <c r="E50" s="41">
        <f>SUM(E34:E49)</f>
        <v>2933.44</v>
      </c>
      <c r="F50" s="41">
        <f>SUM(F34:F49)</f>
        <v>4145628.81</v>
      </c>
      <c r="G50" s="41">
        <f>SUM(G34:G49)</f>
        <v>486822.66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631120.66</v>
      </c>
      <c r="D51" s="41">
        <f>D50+D31</f>
        <v>27993.489999999998</v>
      </c>
      <c r="E51" s="41">
        <f>E50+E31</f>
        <v>27343.109999999997</v>
      </c>
      <c r="F51" s="41">
        <f>F50+F31</f>
        <v>4190046.25</v>
      </c>
      <c r="G51" s="41">
        <f>G50+G31</f>
        <v>486822.66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8013354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6675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7009.51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1185.48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100204.98999999999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31832.04</v>
      </c>
      <c r="D61" s="95">
        <f>SUM('DOE25'!G98:G110)</f>
        <v>0</v>
      </c>
      <c r="E61" s="95">
        <f>SUM('DOE25'!H98:H110)</f>
        <v>4000</v>
      </c>
      <c r="F61" s="95">
        <f>SUM('DOE25'!I98:I110)</f>
        <v>0</v>
      </c>
      <c r="G61" s="95">
        <f>SUM('DOE25'!J98:J110)</f>
        <v>131.03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45516.55</v>
      </c>
      <c r="D62" s="130">
        <f>SUM(D57:D61)</f>
        <v>100204.98999999999</v>
      </c>
      <c r="E62" s="130">
        <f>SUM(E57:E61)</f>
        <v>4000</v>
      </c>
      <c r="F62" s="130">
        <f>SUM(F57:F61)</f>
        <v>0</v>
      </c>
      <c r="G62" s="130">
        <f>SUM(G57:G61)</f>
        <v>1316.51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8058870.5499999998</v>
      </c>
      <c r="D63" s="22">
        <f>D56+D62</f>
        <v>100204.98999999999</v>
      </c>
      <c r="E63" s="22">
        <f>E56+E62</f>
        <v>4000</v>
      </c>
      <c r="F63" s="22">
        <f>F56+F62</f>
        <v>0</v>
      </c>
      <c r="G63" s="22">
        <f>G56+G62</f>
        <v>1316.51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1397861.98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1209642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2700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2607503.98</v>
      </c>
      <c r="D70" s="139">
        <f>D69</f>
        <v>0</v>
      </c>
      <c r="E70" s="139">
        <f>E69</f>
        <v>2700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135769.42000000001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3501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2801.79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269270.42000000004</v>
      </c>
      <c r="D78" s="130">
        <f>SUM(D72:D77)</f>
        <v>2801.79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2876774.3999999999</v>
      </c>
      <c r="D81" s="130">
        <f>SUM(D79:D80)+D78+D70</f>
        <v>2801.79</v>
      </c>
      <c r="E81" s="130">
        <f>SUM(E79:E80)+E78+E70</f>
        <v>2700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9060.6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96752.13</v>
      </c>
      <c r="D88" s="95">
        <f>SUM('DOE25'!G153:G161)</f>
        <v>88185.02</v>
      </c>
      <c r="E88" s="95">
        <f>SUM('DOE25'!H153:H161)</f>
        <v>322911.02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96752.13</v>
      </c>
      <c r="D91" s="131">
        <f>SUM(D85:D90)</f>
        <v>88185.02</v>
      </c>
      <c r="E91" s="131">
        <f>SUM(E85:E90)</f>
        <v>331971.62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8270665.9699999997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39801.919999999998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21500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21500</v>
      </c>
      <c r="D103" s="86">
        <f>SUM(D93:D102)</f>
        <v>39801.919999999998</v>
      </c>
      <c r="E103" s="86">
        <f>SUM(E93:E102)</f>
        <v>0</v>
      </c>
      <c r="F103" s="86">
        <f>SUM(F93:F102)</f>
        <v>8270665.9699999997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11053897.08</v>
      </c>
      <c r="D104" s="86">
        <f>D63+D81+D91+D103</f>
        <v>230993.71999999997</v>
      </c>
      <c r="E104" s="86">
        <f>E63+E81+E91+E103</f>
        <v>338671.62</v>
      </c>
      <c r="F104" s="86">
        <f>F63+F81+F91+F103</f>
        <v>8270665.9699999997</v>
      </c>
      <c r="G104" s="86">
        <f>G63+G81+G103</f>
        <v>1316.51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4782008.3900000006</v>
      </c>
      <c r="D109" s="24" t="s">
        <v>289</v>
      </c>
      <c r="E109" s="95">
        <f>('DOE25'!L276)+('DOE25'!L295)+('DOE25'!L314)</f>
        <v>105504.34999999999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1354499.94</v>
      </c>
      <c r="D110" s="24" t="s">
        <v>289</v>
      </c>
      <c r="E110" s="95">
        <f>('DOE25'!L277)+('DOE25'!L296)+('DOE25'!L315)</f>
        <v>23335.350000000002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17397.82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143213.15</v>
      </c>
      <c r="D112" s="24" t="s">
        <v>289</v>
      </c>
      <c r="E112" s="95">
        <f>+('DOE25'!L279)+('DOE25'!L298)+('DOE25'!L317)</f>
        <v>2438.0100000000002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6297119.3000000007</v>
      </c>
      <c r="D115" s="86">
        <f>SUM(D109:D114)</f>
        <v>0</v>
      </c>
      <c r="E115" s="86">
        <f>SUM(E109:E114)</f>
        <v>131277.71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1019657.28</v>
      </c>
      <c r="D118" s="24" t="s">
        <v>289</v>
      </c>
      <c r="E118" s="95">
        <f>+('DOE25'!L281)+('DOE25'!L300)+('DOE25'!L319)</f>
        <v>108158.98999999999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250595.26</v>
      </c>
      <c r="D119" s="24" t="s">
        <v>289</v>
      </c>
      <c r="E119" s="95">
        <f>+('DOE25'!L282)+('DOE25'!L301)+('DOE25'!L320)</f>
        <v>81805.680000000008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434018.56999999995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684083.96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285036.79999999993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893948.46000000008</v>
      </c>
      <c r="D123" s="24" t="s">
        <v>289</v>
      </c>
      <c r="E123" s="95">
        <f>+('DOE25'!L286)+('DOE25'!L305)+('DOE25'!L324)</f>
        <v>5613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374681.93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235225.50000000006</v>
      </c>
      <c r="D125" s="24" t="s">
        <v>289</v>
      </c>
      <c r="E125" s="95">
        <f>+('DOE25'!L288)+('DOE25'!L307)+('DOE25'!L326)</f>
        <v>9332.16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230993.71999999997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4177247.76</v>
      </c>
      <c r="D128" s="86">
        <f>SUM(D118:D127)</f>
        <v>230993.71999999997</v>
      </c>
      <c r="E128" s="86">
        <f>SUM(E118:E127)</f>
        <v>204909.83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4021384.83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284436.86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39801.919999999998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1316.51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-1316.51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649238.78</v>
      </c>
      <c r="D144" s="141">
        <f>SUM(D130:D143)</f>
        <v>0</v>
      </c>
      <c r="E144" s="141">
        <f>SUM(E130:E143)</f>
        <v>0</v>
      </c>
      <c r="F144" s="141">
        <f>SUM(F130:F143)</f>
        <v>4021384.83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11123605.84</v>
      </c>
      <c r="D145" s="86">
        <f>(D115+D128+D144)</f>
        <v>230993.71999999997</v>
      </c>
      <c r="E145" s="86">
        <f>(E115+E128+E144)</f>
        <v>336187.54</v>
      </c>
      <c r="F145" s="86">
        <f>(F115+F128+F144)</f>
        <v>4021384.83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07/99</v>
      </c>
      <c r="C152" s="152" t="str">
        <f>'DOE25'!G491</f>
        <v>07/14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6476775</v>
      </c>
      <c r="C154" s="137">
        <f>'DOE25'!G493</f>
        <v>7640000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7640000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7640000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1605000</v>
      </c>
      <c r="C159" s="137">
        <f>'DOE25'!G498</f>
        <v>7640000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9245000</v>
      </c>
    </row>
    <row r="160" spans="1:9" x14ac:dyDescent="0.2">
      <c r="A160" s="22" t="s">
        <v>36</v>
      </c>
      <c r="B160" s="137">
        <f>'DOE25'!F499</f>
        <v>210131.5</v>
      </c>
      <c r="C160" s="137">
        <f>'DOE25'!G499</f>
        <v>3876840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4086971.5</v>
      </c>
    </row>
    <row r="161" spans="1:7" x14ac:dyDescent="0.2">
      <c r="A161" s="22" t="s">
        <v>37</v>
      </c>
      <c r="B161" s="137">
        <f>'DOE25'!F500</f>
        <v>1815131.5</v>
      </c>
      <c r="C161" s="137">
        <f>'DOE25'!G500</f>
        <v>11516840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13331971.5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325000</v>
      </c>
    </row>
    <row r="163" spans="1:7" x14ac:dyDescent="0.2">
      <c r="A163" s="22" t="s">
        <v>39</v>
      </c>
      <c r="B163" s="137">
        <f>'DOE25'!F502</f>
        <v>75731.25</v>
      </c>
      <c r="C163" s="137">
        <f>'DOE25'!G502</f>
        <v>331690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407421.25</v>
      </c>
    </row>
    <row r="164" spans="1:7" x14ac:dyDescent="0.2">
      <c r="A164" s="22" t="s">
        <v>246</v>
      </c>
      <c r="B164" s="137">
        <f>'DOE25'!F503</f>
        <v>400731.25</v>
      </c>
      <c r="C164" s="137">
        <f>'DOE25'!G503</f>
        <v>331690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732421.25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6" t="s">
        <v>717</v>
      </c>
      <c r="B2" s="185" t="str">
        <f>'DOE25'!A2</f>
        <v>Wilton-Lyndeborough Cooperative School District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18359</v>
      </c>
    </row>
    <row r="5" spans="1:4" x14ac:dyDescent="0.2">
      <c r="B5" t="s">
        <v>704</v>
      </c>
      <c r="C5" s="178">
        <f>IF('DOE25'!G665+'DOE25'!G670=0,0,ROUND('DOE25'!G672,0))</f>
        <v>17093</v>
      </c>
    </row>
    <row r="6" spans="1:4" x14ac:dyDescent="0.2">
      <c r="B6" t="s">
        <v>62</v>
      </c>
      <c r="C6" s="178">
        <f>IF('DOE25'!H665+'DOE25'!H670=0,0,ROUND('DOE25'!H672,0))</f>
        <v>17900</v>
      </c>
    </row>
    <row r="7" spans="1:4" x14ac:dyDescent="0.2">
      <c r="B7" t="s">
        <v>705</v>
      </c>
      <c r="C7" s="178">
        <f>IF('DOE25'!I665+'DOE25'!I670=0,0,ROUND('DOE25'!I672,0))</f>
        <v>17930</v>
      </c>
    </row>
    <row r="9" spans="1:4" x14ac:dyDescent="0.2">
      <c r="A9" s="186" t="s">
        <v>94</v>
      </c>
      <c r="B9" s="187" t="s">
        <v>909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4887513</v>
      </c>
      <c r="D10" s="181">
        <f>ROUND((C10/$C$28)*100,1)</f>
        <v>43.5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1377835</v>
      </c>
      <c r="D11" s="181">
        <f>ROUND((C11/$C$28)*100,1)</f>
        <v>12.3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17398</v>
      </c>
      <c r="D12" s="181">
        <f>ROUND((C12/$C$28)*100,1)</f>
        <v>0.2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145651</v>
      </c>
      <c r="D13" s="181">
        <f>ROUND((C13/$C$28)*100,1)</f>
        <v>1.3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1127816</v>
      </c>
      <c r="D15" s="181">
        <f t="shared" ref="D15:D27" si="0">ROUND((C15/$C$28)*100,1)</f>
        <v>10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332401</v>
      </c>
      <c r="D16" s="181">
        <f t="shared" si="0"/>
        <v>3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678576</v>
      </c>
      <c r="D17" s="181">
        <f t="shared" si="0"/>
        <v>6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684084</v>
      </c>
      <c r="D18" s="181">
        <f t="shared" si="0"/>
        <v>6.1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285037</v>
      </c>
      <c r="D19" s="181">
        <f t="shared" si="0"/>
        <v>2.5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899561</v>
      </c>
      <c r="D20" s="181">
        <f t="shared" si="0"/>
        <v>8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374682</v>
      </c>
      <c r="D21" s="181">
        <f t="shared" si="0"/>
        <v>3.3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284437</v>
      </c>
      <c r="D25" s="181">
        <f t="shared" si="0"/>
        <v>2.5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130789.01000000001</v>
      </c>
      <c r="D27" s="181">
        <f t="shared" si="0"/>
        <v>1.2</v>
      </c>
    </row>
    <row r="28" spans="1:4" x14ac:dyDescent="0.2">
      <c r="B28" s="186" t="s">
        <v>723</v>
      </c>
      <c r="C28" s="179">
        <f>SUM(C10:C27)</f>
        <v>11225780.01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4021385</v>
      </c>
    </row>
    <row r="30" spans="1:4" x14ac:dyDescent="0.2">
      <c r="B30" s="186" t="s">
        <v>729</v>
      </c>
      <c r="C30" s="179">
        <f>SUM(C28:C29)</f>
        <v>15247165.01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325000</v>
      </c>
    </row>
    <row r="34" spans="1:4" x14ac:dyDescent="0.2">
      <c r="A34" s="186" t="s">
        <v>94</v>
      </c>
      <c r="B34" s="187" t="s">
        <v>910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8013354</v>
      </c>
      <c r="D35" s="181">
        <f t="shared" ref="D35:D40" si="1">ROUND((C35/$C$41)*100,1)</f>
        <v>66.3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681499.02999999933</v>
      </c>
      <c r="D36" s="181">
        <f t="shared" si="1"/>
        <v>5.6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2607504</v>
      </c>
      <c r="D37" s="181">
        <f t="shared" si="1"/>
        <v>21.6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274772</v>
      </c>
      <c r="D38" s="181">
        <f t="shared" si="1"/>
        <v>2.2999999999999998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516909</v>
      </c>
      <c r="D39" s="181">
        <f t="shared" si="1"/>
        <v>4.3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12094038.029999999</v>
      </c>
      <c r="D41" s="183">
        <f>SUM(D35:D40)</f>
        <v>100.1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7640000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2"/>
      <c r="K1" s="212"/>
      <c r="L1" s="212"/>
      <c r="M1" s="213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Wilton-Lyndeborough Cooperative School District</v>
      </c>
      <c r="G2" s="297"/>
      <c r="H2" s="297"/>
      <c r="I2" s="297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7"/>
      <c r="B4" s="218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0"/>
      <c r="O29" s="210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6"/>
      <c r="AB29" s="206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6"/>
      <c r="AO29" s="206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6"/>
      <c r="BB29" s="206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6"/>
      <c r="BO29" s="206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6"/>
      <c r="CB29" s="206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6"/>
      <c r="CO29" s="206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6"/>
      <c r="DB29" s="206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6"/>
      <c r="DO29" s="206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6"/>
      <c r="EB29" s="206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6"/>
      <c r="EO29" s="206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6"/>
      <c r="FB29" s="206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6"/>
      <c r="FO29" s="206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6"/>
      <c r="GB29" s="206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6"/>
      <c r="GO29" s="206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6"/>
      <c r="HB29" s="206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6"/>
      <c r="HO29" s="206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6"/>
      <c r="IB29" s="206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6"/>
      <c r="IO29" s="206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7"/>
      <c r="B30" s="218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0"/>
      <c r="O30" s="210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6"/>
      <c r="AB30" s="206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6"/>
      <c r="AO30" s="206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6"/>
      <c r="BB30" s="206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6"/>
      <c r="BO30" s="206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6"/>
      <c r="CB30" s="206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6"/>
      <c r="CO30" s="206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6"/>
      <c r="DB30" s="206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6"/>
      <c r="DO30" s="206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6"/>
      <c r="EB30" s="206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6"/>
      <c r="EO30" s="206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6"/>
      <c r="FB30" s="206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6"/>
      <c r="FO30" s="206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6"/>
      <c r="GB30" s="206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6"/>
      <c r="GO30" s="206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6"/>
      <c r="HB30" s="206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6"/>
      <c r="HO30" s="206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6"/>
      <c r="IB30" s="206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6"/>
      <c r="IO30" s="206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7"/>
      <c r="B31" s="218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0"/>
      <c r="O31" s="210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6"/>
      <c r="AB31" s="206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6"/>
      <c r="AO31" s="206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6"/>
      <c r="BB31" s="206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6"/>
      <c r="BO31" s="206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6"/>
      <c r="CB31" s="206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6"/>
      <c r="CO31" s="206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6"/>
      <c r="DB31" s="206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6"/>
      <c r="DO31" s="206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6"/>
      <c r="EB31" s="206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6"/>
      <c r="EO31" s="206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6"/>
      <c r="FB31" s="206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6"/>
      <c r="FO31" s="206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6"/>
      <c r="GB31" s="206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6"/>
      <c r="GO31" s="206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6"/>
      <c r="HB31" s="206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6"/>
      <c r="HO31" s="206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6"/>
      <c r="IB31" s="206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6"/>
      <c r="IO31" s="206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7"/>
      <c r="B32" s="218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2"/>
      <c r="O32" s="222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7"/>
      <c r="AB32" s="218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7"/>
      <c r="AO32" s="218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7"/>
      <c r="BB32" s="218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7"/>
      <c r="BO32" s="218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7"/>
      <c r="CB32" s="218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7"/>
      <c r="CO32" s="218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7"/>
      <c r="DB32" s="218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7"/>
      <c r="DO32" s="218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7"/>
      <c r="EB32" s="218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7"/>
      <c r="EO32" s="218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7"/>
      <c r="FB32" s="218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7"/>
      <c r="FO32" s="218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7"/>
      <c r="GB32" s="218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7"/>
      <c r="GO32" s="218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7"/>
      <c r="HB32" s="218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7"/>
      <c r="HO32" s="218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7"/>
      <c r="IB32" s="218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7"/>
      <c r="IO32" s="218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7"/>
      <c r="B33" s="218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0"/>
      <c r="O38" s="210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6"/>
      <c r="AB38" s="206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6"/>
      <c r="AO38" s="206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6"/>
      <c r="BB38" s="206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6"/>
      <c r="BO38" s="206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6"/>
      <c r="CB38" s="206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6"/>
      <c r="CO38" s="206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6"/>
      <c r="DB38" s="206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6"/>
      <c r="DO38" s="206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6"/>
      <c r="EB38" s="206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6"/>
      <c r="EO38" s="206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6"/>
      <c r="FB38" s="206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6"/>
      <c r="FO38" s="206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6"/>
      <c r="GB38" s="206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6"/>
      <c r="GO38" s="206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6"/>
      <c r="HB38" s="206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6"/>
      <c r="HO38" s="206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6"/>
      <c r="IB38" s="206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6"/>
      <c r="IO38" s="206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7"/>
      <c r="B39" s="218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0"/>
      <c r="O39" s="210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6"/>
      <c r="AB39" s="206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6"/>
      <c r="AO39" s="206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6"/>
      <c r="BB39" s="206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6"/>
      <c r="BO39" s="206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6"/>
      <c r="CB39" s="206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6"/>
      <c r="CO39" s="206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6"/>
      <c r="DB39" s="206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6"/>
      <c r="DO39" s="206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6"/>
      <c r="EB39" s="206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6"/>
      <c r="EO39" s="206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6"/>
      <c r="FB39" s="206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6"/>
      <c r="FO39" s="206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6"/>
      <c r="GB39" s="206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6"/>
      <c r="GO39" s="206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6"/>
      <c r="HB39" s="206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6"/>
      <c r="HO39" s="206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6"/>
      <c r="IB39" s="206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6"/>
      <c r="IO39" s="206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7"/>
      <c r="B40" s="218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0"/>
      <c r="O40" s="210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6"/>
      <c r="AB40" s="206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6"/>
      <c r="AO40" s="206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6"/>
      <c r="BB40" s="206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6"/>
      <c r="BO40" s="206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6"/>
      <c r="CB40" s="206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6"/>
      <c r="CO40" s="206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6"/>
      <c r="DB40" s="206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6"/>
      <c r="DO40" s="206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6"/>
      <c r="EB40" s="206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6"/>
      <c r="EO40" s="206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6"/>
      <c r="FB40" s="206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6"/>
      <c r="FO40" s="206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6"/>
      <c r="GB40" s="206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6"/>
      <c r="GO40" s="206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6"/>
      <c r="HB40" s="206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6"/>
      <c r="HO40" s="206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6"/>
      <c r="IB40" s="206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6"/>
      <c r="IO40" s="206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7"/>
      <c r="B41" s="218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7"/>
      <c r="B60" s="218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7"/>
      <c r="B61" s="218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7"/>
      <c r="B62" s="218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7"/>
      <c r="B63" s="218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7"/>
      <c r="B64" s="218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7"/>
      <c r="B65" s="218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7"/>
      <c r="B66" s="218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7"/>
      <c r="B67" s="218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7"/>
      <c r="B68" s="218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7"/>
      <c r="B69" s="218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9"/>
      <c r="B70" s="220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0"/>
      <c r="B74" s="210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0"/>
      <c r="B75" s="210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0"/>
      <c r="B76" s="210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0"/>
      <c r="B77" s="210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0"/>
      <c r="B78" s="210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0"/>
      <c r="B79" s="210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0"/>
      <c r="B80" s="210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0"/>
      <c r="B81" s="210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0"/>
      <c r="B82" s="210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0"/>
      <c r="B83" s="210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0"/>
      <c r="B84" s="210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0"/>
      <c r="B85" s="210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0"/>
      <c r="B86" s="210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0"/>
      <c r="B87" s="210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0"/>
      <c r="B88" s="210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0"/>
      <c r="B89" s="210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0"/>
      <c r="B90" s="210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2015-10-13T18:32:23Z</cp:lastPrinted>
  <dcterms:created xsi:type="dcterms:W3CDTF">1997-12-04T19:04:30Z</dcterms:created>
  <dcterms:modified xsi:type="dcterms:W3CDTF">2015-12-08T13:50:07Z</dcterms:modified>
</cp:coreProperties>
</file>