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374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E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G661" i="1" s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C16" i="10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L250" i="1"/>
  <c r="L332" i="1"/>
  <c r="L254" i="1"/>
  <c r="L268" i="1"/>
  <c r="L269" i="1"/>
  <c r="L349" i="1"/>
  <c r="E142" i="2" s="1"/>
  <c r="L350" i="1"/>
  <c r="I665" i="1"/>
  <c r="I670" i="1"/>
  <c r="L247" i="1"/>
  <c r="F662" i="1"/>
  <c r="I662" i="1" s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C112" i="2"/>
  <c r="E112" i="2"/>
  <c r="C113" i="2"/>
  <c r="E113" i="2"/>
  <c r="C114" i="2"/>
  <c r="D115" i="2"/>
  <c r="F115" i="2"/>
  <c r="G115" i="2"/>
  <c r="C118" i="2"/>
  <c r="C119" i="2"/>
  <c r="E121" i="2"/>
  <c r="C123" i="2"/>
  <c r="E123" i="2"/>
  <c r="C124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H642" i="1" s="1"/>
  <c r="F470" i="1"/>
  <c r="G470" i="1"/>
  <c r="G476" i="1" s="1"/>
  <c r="H623" i="1" s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40" i="1"/>
  <c r="G641" i="1"/>
  <c r="H641" i="1"/>
  <c r="J641" i="1" s="1"/>
  <c r="G643" i="1"/>
  <c r="G644" i="1"/>
  <c r="G645" i="1"/>
  <c r="H645" i="1"/>
  <c r="J645" i="1" s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I257" i="1"/>
  <c r="C18" i="2"/>
  <c r="L328" i="1"/>
  <c r="A31" i="12"/>
  <c r="A40" i="12"/>
  <c r="D15" i="13"/>
  <c r="C15" i="13" s="1"/>
  <c r="C91" i="2"/>
  <c r="D31" i="2"/>
  <c r="G157" i="2"/>
  <c r="G161" i="2"/>
  <c r="D91" i="2"/>
  <c r="D14" i="13"/>
  <c r="C14" i="13" s="1"/>
  <c r="E78" i="2"/>
  <c r="H112" i="1"/>
  <c r="K605" i="1"/>
  <c r="G648" i="1" s="1"/>
  <c r="K571" i="1"/>
  <c r="L419" i="1"/>
  <c r="I169" i="1"/>
  <c r="J140" i="1"/>
  <c r="K550" i="1"/>
  <c r="K598" i="1"/>
  <c r="G647" i="1" s="1"/>
  <c r="H140" i="1"/>
  <c r="F22" i="13"/>
  <c r="C22" i="13" s="1"/>
  <c r="L560" i="1"/>
  <c r="G192" i="1"/>
  <c r="H192" i="1"/>
  <c r="C35" i="10"/>
  <c r="L309" i="1"/>
  <c r="L570" i="1"/>
  <c r="I571" i="1"/>
  <c r="G36" i="2"/>
  <c r="L565" i="1"/>
  <c r="K551" i="1"/>
  <c r="J617" i="1" l="1"/>
  <c r="C81" i="2"/>
  <c r="J623" i="1"/>
  <c r="F552" i="1"/>
  <c r="J552" i="1"/>
  <c r="H545" i="1"/>
  <c r="G545" i="1"/>
  <c r="H476" i="1"/>
  <c r="H624" i="1" s="1"/>
  <c r="J624" i="1" s="1"/>
  <c r="F476" i="1"/>
  <c r="H622" i="1" s="1"/>
  <c r="J622" i="1" s="1"/>
  <c r="J639" i="1"/>
  <c r="E119" i="2"/>
  <c r="C13" i="10"/>
  <c r="H660" i="1"/>
  <c r="H664" i="1" s="1"/>
  <c r="H257" i="1"/>
  <c r="H271" i="1" s="1"/>
  <c r="J651" i="1"/>
  <c r="J649" i="1"/>
  <c r="C121" i="2"/>
  <c r="C128" i="2" s="1"/>
  <c r="D7" i="13"/>
  <c r="C7" i="13" s="1"/>
  <c r="L211" i="1"/>
  <c r="D5" i="13"/>
  <c r="C5" i="13" s="1"/>
  <c r="C109" i="2"/>
  <c r="C115" i="2" s="1"/>
  <c r="D18" i="2"/>
  <c r="J634" i="1"/>
  <c r="D29" i="13"/>
  <c r="C29" i="13" s="1"/>
  <c r="D127" i="2"/>
  <c r="D128" i="2" s="1"/>
  <c r="J644" i="1"/>
  <c r="J625" i="1"/>
  <c r="J640" i="1"/>
  <c r="L433" i="1"/>
  <c r="F338" i="1"/>
  <c r="F352" i="1" s="1"/>
  <c r="D50" i="2"/>
  <c r="F18" i="2"/>
  <c r="I549" i="1"/>
  <c r="I552" i="1" s="1"/>
  <c r="L539" i="1"/>
  <c r="G549" i="1"/>
  <c r="L529" i="1"/>
  <c r="F130" i="2"/>
  <c r="F144" i="2" s="1"/>
  <c r="F145" i="2" s="1"/>
  <c r="C142" i="2"/>
  <c r="C26" i="10"/>
  <c r="C16" i="13"/>
  <c r="C29" i="10"/>
  <c r="G271" i="1"/>
  <c r="K271" i="1"/>
  <c r="J571" i="1"/>
  <c r="H571" i="1"/>
  <c r="F571" i="1"/>
  <c r="L544" i="1"/>
  <c r="K545" i="1"/>
  <c r="L524" i="1"/>
  <c r="L545" i="1" s="1"/>
  <c r="J545" i="1"/>
  <c r="L256" i="1"/>
  <c r="J257" i="1"/>
  <c r="J271" i="1" s="1"/>
  <c r="I52" i="1"/>
  <c r="H620" i="1" s="1"/>
  <c r="G625" i="1"/>
  <c r="B164" i="2"/>
  <c r="G164" i="2" s="1"/>
  <c r="K503" i="1"/>
  <c r="G156" i="2"/>
  <c r="D145" i="2"/>
  <c r="E103" i="2"/>
  <c r="F78" i="2"/>
  <c r="F81" i="2" s="1"/>
  <c r="E62" i="2"/>
  <c r="E63" i="2" s="1"/>
  <c r="E104" i="2" s="1"/>
  <c r="F112" i="1"/>
  <c r="C36" i="10" s="1"/>
  <c r="F663" i="1"/>
  <c r="I663" i="1" s="1"/>
  <c r="L614" i="1"/>
  <c r="L401" i="1"/>
  <c r="C139" i="2" s="1"/>
  <c r="A13" i="12"/>
  <c r="L351" i="1"/>
  <c r="C25" i="10"/>
  <c r="H25" i="13"/>
  <c r="E114" i="2"/>
  <c r="E124" i="2"/>
  <c r="E122" i="2"/>
  <c r="E120" i="2"/>
  <c r="E118" i="2"/>
  <c r="E111" i="2"/>
  <c r="E109" i="2"/>
  <c r="L290" i="1"/>
  <c r="L338" i="1" s="1"/>
  <c r="L352" i="1" s="1"/>
  <c r="G633" i="1" s="1"/>
  <c r="J633" i="1" s="1"/>
  <c r="F661" i="1"/>
  <c r="I661" i="1" s="1"/>
  <c r="C21" i="10"/>
  <c r="H647" i="1"/>
  <c r="J647" i="1" s="1"/>
  <c r="D12" i="13"/>
  <c r="C12" i="13" s="1"/>
  <c r="C15" i="10"/>
  <c r="L229" i="1"/>
  <c r="C12" i="10"/>
  <c r="C10" i="10"/>
  <c r="C19" i="10"/>
  <c r="E13" i="13"/>
  <c r="C13" i="13" s="1"/>
  <c r="C17" i="10"/>
  <c r="E8" i="13"/>
  <c r="C8" i="13" s="1"/>
  <c r="E81" i="2"/>
  <c r="I271" i="1"/>
  <c r="L382" i="1"/>
  <c r="G636" i="1" s="1"/>
  <c r="J636" i="1" s="1"/>
  <c r="K338" i="1"/>
  <c r="K35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C27" i="10"/>
  <c r="G635" i="1"/>
  <c r="J635" i="1" s="1"/>
  <c r="H672" i="1" l="1"/>
  <c r="C6" i="10" s="1"/>
  <c r="H667" i="1"/>
  <c r="D31" i="13"/>
  <c r="C31" i="13" s="1"/>
  <c r="C28" i="10"/>
  <c r="D23" i="10" s="1"/>
  <c r="F660" i="1"/>
  <c r="F664" i="1" s="1"/>
  <c r="F672" i="1" s="1"/>
  <c r="C4" i="10" s="1"/>
  <c r="C141" i="2"/>
  <c r="C144" i="2" s="1"/>
  <c r="C145" i="2" s="1"/>
  <c r="G672" i="1"/>
  <c r="C5" i="10" s="1"/>
  <c r="C25" i="13"/>
  <c r="H33" i="13"/>
  <c r="L257" i="1"/>
  <c r="L271" i="1" s="1"/>
  <c r="G632" i="1" s="1"/>
  <c r="J632" i="1" s="1"/>
  <c r="K549" i="1"/>
  <c r="K552" i="1" s="1"/>
  <c r="G552" i="1"/>
  <c r="E33" i="13"/>
  <c r="D35" i="13" s="1"/>
  <c r="G104" i="2"/>
  <c r="L408" i="1"/>
  <c r="E115" i="2"/>
  <c r="E128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I660" i="1"/>
  <c r="I664" i="1" s="1"/>
  <c r="I672" i="1" s="1"/>
  <c r="C7" i="10" s="1"/>
  <c r="F667" i="1"/>
  <c r="G637" i="1"/>
  <c r="J637" i="1" s="1"/>
  <c r="H646" i="1"/>
  <c r="J646" i="1" s="1"/>
  <c r="E145" i="2"/>
  <c r="C41" i="10"/>
  <c r="D38" i="10" s="1"/>
  <c r="D28" i="10" l="1"/>
  <c r="I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<sst xmlns="http://schemas.openxmlformats.org/spreadsheetml/2006/main" count="3959" uniqueCount="917">
  <si>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</si>
  <si>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</si>
  <si>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</si>
  <si>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</si>
  <si>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</si>
  <si>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</si>
  <si>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</si>
  <si>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</si>
  <si>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</si>
  <si>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</si>
  <si>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</si>
  <si>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</si>
  <si>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</si>
  <si>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</si>
  <si>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</si>
  <si>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</si>
  <si>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</si>
  <si>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</si>
  <si>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</si>
  <si>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</si>
  <si>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</si>
  <si>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</si>
  <si>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</si>
  <si>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</si>
  <si>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</si>
  <si>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</si>
  <si>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</si>
  <si>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</si>
  <si>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</si>
  <si>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</si>
  <si>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</si>
  <si>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</si>
  <si>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</si>
  <si>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</si>
  <si>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</si>
  <si>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</si>
  <si>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</si>
  <si>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</si>
  <si>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</si>
  <si>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</si>
  <si>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</si>
  <si>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</si>
  <si>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</si>
  <si>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</si>
  <si>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</si>
  <si>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</si>
  <si>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</si>
  <si>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</si>
  <si>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</si>
  <si>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</si>
  <si>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</si>
  <si>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</si>
  <si>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</si>
  <si>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</si>
  <si>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</si>
  <si>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</si>
  <si>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</si>
  <si>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</si>
  <si>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</si>
  <si>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</si>
  <si>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</si>
  <si>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</si>
  <si>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</si>
  <si>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</si>
  <si>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</si>
  <si>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</si>
  <si>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</si>
  <si>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</si>
  <si>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</si>
  <si>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</si>
  <si>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</si>
  <si>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</si>
  <si>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</si>
  <si>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</si>
  <si>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</si>
  <si>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</si>
  <si>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</si>
  <si>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</si>
  <si>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</si>
  <si>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</si>
  <si>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</si>
  <si>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</si>
  <si>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</si>
  <si>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</si>
  <si>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</si>
  <si>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</si>
  <si>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</si>
  <si>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</si>
  <si>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</si>
  <si>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</si>
  <si>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</si>
  <si>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</si>
  <si>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</si>
  <si>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</si>
  <si>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</si>
  <si>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</si>
  <si>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</si>
  <si>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</si>
  <si>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</si>
  <si>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</si>
  <si>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</si>
  <si>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</si>
  <si>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</si>
  <si>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</si>
  <si>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</si>
  <si>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</si>
  <si>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</si>
  <si>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</si>
  <si>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</si>
  <si>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</si>
  <si>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</si>
  <si>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</si>
  <si>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</si>
  <si>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</si>
  <si>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</si>
  <si>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</si>
  <si>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</si>
  <si>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</si>
  <si>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</si>
  <si>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</si>
  <si>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</si>
  <si>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</si>
  <si>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</si>
  <si>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</si>
  <si>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</si>
  <si>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</si>
  <si>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</si>
  <si>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</si>
  <si>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</si>
  <si>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</si>
  <si>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</si>
  <si>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</si>
  <si>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</si>
  <si>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</si>
  <si>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</si>
  <si>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</si>
  <si>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</si>
  <si>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</si>
  <si>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</si>
  <si>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</si>
  <si>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</si>
  <si>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</si>
  <si>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</si>
  <si>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</si>
  <si>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</si>
  <si>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</si>
  <si>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</si>
  <si>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</si>
  <si>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</si>
  <si>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</si>
  <si>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</si>
  <si>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</si>
  <si>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</si>
  <si>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</si>
  <si>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</si>
  <si>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</si>
  <si>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</si>
  <si>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</si>
  <si>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</si>
  <si>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</si>
  <si>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</si>
  <si>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</si>
  <si>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</si>
  <si>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</si>
  <si>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</si>
  <si>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</si>
  <si>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</si>
  <si>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</si>
  <si>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</si>
  <si>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</si>
  <si>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</si>
  <si>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</si>
  <si>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</si>
  <si>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</si>
  <si>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</si>
  <si>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</si>
  <si>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</si>
  <si>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</si>
  <si>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</si>
  <si>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</si>
  <si>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</si>
  <si>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</si>
  <si>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</si>
  <si>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</si>
  <si>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</si>
  <si>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</si>
  <si>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</si>
  <si>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</si>
  <si>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</si>
  <si>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</si>
  <si>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</si>
  <si>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</si>
  <si>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</si>
  <si>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</si>
  <si>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</si>
  <si>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</si>
  <si>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</si>
  <si>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</si>
  <si>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</si>
  <si>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</si>
  <si>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</si>
  <si>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</si>
  <si>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</si>
  <si>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</si>
  <si>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</si>
  <si>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</si>
  <si>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</si>
  <si>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</si>
  <si>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</si>
  <si>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</si>
  <si>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</si>
  <si>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</si>
  <si>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</si>
  <si>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</si>
  <si>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</si>
  <si>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</si>
  <si>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</si>
  <si>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</si>
  <si>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</si>
  <si>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</si>
  <si>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</si>
  <si>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</si>
  <si>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</si>
  <si>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</si>
  <si>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</si>
  <si>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</si>
  <si>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</si>
  <si>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</si>
  <si>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</si>
  <si>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</si>
  <si>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</si>
  <si>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</si>
  <si>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</si>
  <si>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</si>
  <si>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</si>
  <si>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</si>
  <si>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</si>
  <si>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</si>
  <si>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</si>
  <si>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</si>
  <si>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</si>
  <si>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</si>
  <si>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</si>
  <si>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</si>
  <si>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</si>
  <si>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</si>
  <si>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</si>
  <si>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</si>
  <si>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</si>
  <si>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</si>
  <si>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</si>
  <si>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</si>
  <si>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</si>
  <si>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</si>
  <si>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</si>
  <si>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</si>
  <si>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</si>
  <si>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</si>
  <si>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</si>
  <si>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</si>
  <si>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</si>
  <si>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</si>
  <si>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</si>
  <si>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</si>
  <si>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</si>
  <si>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</si>
  <si>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</si>
  <si>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</si>
  <si>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</si>
  <si>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</si>
  <si>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</si>
  <si>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</si>
  <si>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</si>
  <si>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</si>
  <si>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</si>
  <si>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</si>
  <si>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</si>
  <si>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</si>
  <si>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</si>
  <si>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</si>
  <si>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</si>
  <si>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</si>
  <si>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</si>
  <si>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</si>
  <si>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</si>
  <si>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</si>
  <si>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</si>
  <si>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</si>
  <si>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</si>
  <si>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</si>
  <si>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</si>
  <si>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</si>
  <si>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</si>
  <si>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</si>
  <si>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</si>
  <si>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</si>
  <si>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</si>
  <si>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</si>
  <si>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</si>
  <si>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</si>
  <si>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</si>
  <si>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</si>
  <si>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</si>
  <si>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</si>
  <si>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</si>
  <si>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</si>
  <si>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</si>
  <si>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</si>
  <si>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</si>
  <si>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</si>
  <si>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</si>
  <si>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</si>
  <si>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</si>
  <si>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</si>
  <si>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</si>
  <si>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</si>
  <si>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</si>
  <si>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</si>
  <si>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</si>
  <si>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</si>
  <si>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</si>
  <si>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</si>
  <si>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</si>
  <si>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</si>
  <si>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</si>
  <si>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</si>
  <si>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</si>
  <si>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</si>
  <si>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</si>
  <si>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</si>
  <si>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</si>
  <si>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</si>
  <si>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</si>
  <si>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</si>
  <si>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</si>
  <si>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</si>
  <si>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</si>
  <si>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</si>
  <si>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</si>
  <si>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</si>
  <si>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</si>
  <si>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</si>
  <si>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</si>
  <si>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</si>
  <si>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</si>
  <si>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</si>
  <si>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</si>
  <si>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</si>
  <si>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</si>
  <si>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</si>
  <si>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</si>
  <si>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</si>
  <si>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</si>
  <si>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</si>
  <si>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</si>
  <si>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</si>
  <si>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</si>
  <si>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</si>
  <si>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</si>
  <si>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</si>
  <si>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</si>
  <si>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</si>
  <si>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</si>
  <si>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</si>
  <si>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</si>
  <si>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</si>
  <si>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</si>
  <si>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</si>
  <si>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</si>
  <si>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</si>
  <si>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</si>
  <si>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</si>
  <si>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</si>
  <si>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</si>
  <si>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</si>
  <si>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</si>
  <si>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</si>
  <si>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</si>
  <si>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</si>
  <si>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</si>
  <si>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</si>
  <si>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</si>
  <si>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</si>
  <si>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</si>
  <si>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</si>
  <si>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</si>
  <si>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</si>
  <si>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</si>
  <si>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</si>
  <si>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</si>
  <si>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</si>
  <si>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</si>
  <si>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</si>
  <si>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</si>
  <si>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</si>
  <si>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</si>
  <si>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</si>
  <si>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</si>
  <si>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</si>
  <si>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</si>
  <si>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</si>
  <si>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</si>
  <si>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</si>
  <si>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</si>
  <si>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</si>
  <si>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</si>
  <si>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</si>
  <si>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</si>
  <si>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</si>
  <si>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</si>
  <si>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</si>
  <si>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</si>
  <si>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</si>
  <si>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</si>
  <si>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</si>
  <si>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</si>
  <si>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</si>
  <si>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</si>
  <si>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</si>
  <si>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</si>
  <si>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</si>
  <si>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</si>
  <si>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</si>
  <si>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</si>
  <si>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</si>
  <si>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</si>
  <si>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</si>
  <si>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</si>
  <si>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</si>
  <si>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</si>
  <si>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</si>
  <si>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</si>
  <si>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</si>
  <si>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</si>
  <si>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</si>
  <si>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</si>
  <si>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</si>
  <si>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</si>
  <si>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</si>
  <si>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</si>
  <si>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</si>
  <si>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</si>
  <si>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</si>
  <si>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</si>
  <si>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</si>
  <si>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</si>
  <si>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</si>
  <si>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</si>
  <si>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</si>
  <si>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</si>
  <si>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</si>
  <si>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</si>
  <si>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</si>
  <si>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</si>
  <si>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</si>
  <si>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</si>
  <si>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</si>
  <si>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</si>
  <si>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</si>
  <si>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</si>
  <si>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</si>
  <si>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</si>
  <si>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</si>
  <si>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</si>
  <si>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</si>
  <si>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</si>
  <si>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</si>
  <si>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</si>
  <si>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</si>
  <si>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</si>
  <si>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</si>
  <si>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</si>
  <si>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</si>
  <si>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</si>
  <si>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</si>
  <si>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</si>
  <si>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</si>
  <si>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</si>
  <si>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</si>
  <si>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</si>
  <si>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</si>
  <si>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</si>
  <si>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</si>
  <si>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</si>
  <si>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</si>
  <si>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</si>
  <si>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</si>
  <si>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</si>
  <si>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</si>
  <si>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</si>
  <si>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</si>
  <si>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</si>
  <si>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</si>
  <si>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</si>
  <si>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</si>
  <si>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</si>
  <si>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</si>
  <si>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</si>
  <si>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</si>
  <si>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</si>
  <si>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</si>
  <si>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</si>
  <si>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</si>
  <si>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</si>
  <si>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</si>
  <si>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</si>
  <si>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</si>
  <si>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</si>
  <si>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</si>
  <si>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</si>
  <si>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</si>
  <si>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</si>
  <si>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</si>
  <si>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</si>
  <si>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</si>
  <si>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</si>
  <si>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</si>
  <si>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</si>
  <si>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</si>
  <si>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</si>
  <si>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</si>
  <si>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</si>
  <si>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</si>
  <si>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</si>
  <si>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</si>
  <si>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</si>
  <si>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</si>
  <si>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</si>
  <si>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</si>
  <si>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</si>
  <si>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</si>
  <si>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</si>
  <si>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</si>
  <si>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</si>
  <si>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</si>
  <si>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</si>
  <si>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</si>
  <si>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</si>
  <si>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</si>
  <si>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</si>
  <si>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</si>
  <si>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</si>
  <si>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</si>
  <si>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</si>
  <si>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</si>
  <si>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</si>
  <si>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</si>
  <si>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</si>
  <si>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</si>
  <si>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</si>
  <si>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</si>
  <si>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</si>
  <si>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</si>
  <si>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</si>
  <si>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</si>
  <si>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</si>
  <si>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</si>
  <si>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</si>
  <si>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</si>
  <si>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</si>
  <si>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</si>
  <si>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</si>
  <si>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</si>
  <si>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</si>
  <si>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</si>
  <si>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</si>
  <si>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</si>
  <si>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</si>
  <si>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</si>
  <si>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</si>
  <si>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</si>
  <si>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</si>
  <si>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</si>
  <si>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</si>
  <si>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</si>
  <si>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</si>
  <si>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</si>
  <si>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</si>
  <si>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</si>
  <si>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</si>
  <si>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</si>
  <si>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</si>
  <si>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</si>
  <si>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</si>
  <si>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</si>
  <si>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</si>
  <si>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</si>
  <si>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</si>
  <si>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</si>
  <si>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</si>
  <si>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</si>
  <si>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</si>
  <si>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</si>
  <si>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</si>
  <si>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</si>
  <si>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</si>
  <si>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</si>
  <si>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</si>
  <si>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</si>
  <si>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</si>
  <si>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</si>
  <si>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</si>
  <si>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</si>
  <si>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</si>
  <si>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</si>
  <si>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</si>
  <si>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</si>
  <si>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</si>
  <si>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</si>
  <si>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</si>
  <si>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</si>
  <si>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</si>
  <si>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</si>
  <si>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</si>
  <si>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</si>
  <si>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</si>
  <si>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</si>
  <si>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</si>
  <si>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</si>
  <si>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</si>
  <si>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</si>
  <si>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</si>
  <si>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</si>
  <si>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</si>
  <si>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</si>
  <si>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</si>
  <si>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</si>
  <si>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</si>
  <si>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</si>
  <si>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</si>
  <si>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</si>
  <si>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</si>
  <si>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</si>
  <si>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</si>
  <si>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</si>
  <si>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</si>
  <si>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</si>
  <si>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</si>
  <si>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</si>
  <si>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</si>
  <si>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</si>
  <si>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</si>
  <si>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</si>
  <si>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</si>
  <si>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</si>
  <si>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</si>
  <si>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</si>
  <si>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</si>
  <si>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</si>
  <si>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</si>
  <si>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</si>
  <si>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</si>
  <si>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</si>
  <si>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</si>
  <si>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</si>
  <si>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</si>
  <si>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</si>
  <si>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</si>
  <si>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</si>
  <si>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</si>
  <si>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</si>
  <si>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</si>
  <si>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</si>
  <si>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</si>
  <si>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</si>
  <si>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</si>
  <si>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</si>
  <si>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</si>
  <si>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</si>
  <si>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</si>
  <si>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</si>
  <si>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</si>
  <si>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</si>
  <si>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</si>
  <si>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</si>
  <si>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</si>
  <si>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</si>
  <si>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</si>
  <si>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</si>
  <si>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</si>
  <si>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</si>
  <si>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</si>
  <si>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</si>
  <si>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</si>
  <si>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</si>
  <si>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</si>
  <si>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</si>
  <si>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</si>
  <si>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</si>
  <si>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</si>
  <si>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</si>
  <si>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</si>
  <si>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</si>
  <si>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</si>
  <si>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</si>
  <si>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</si>
  <si>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</si>
  <si>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</si>
  <si>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</si>
  <si>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</si>
  <si>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</si>
  <si>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</si>
  <si>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</si>
  <si>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</si>
  <si>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</si>
  <si>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</si>
  <si>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</si>
  <si>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</si>
  <si>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</si>
  <si>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</si>
  <si>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</si>
  <si>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</si>
  <si>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</si>
  <si>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</si>
  <si>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</si>
  <si>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</si>
  <si>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</si>
  <si>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</si>
  <si>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</si>
  <si>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</si>
  <si>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</si>
  <si>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</si>
  <si>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</si>
  <si>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</si>
  <si>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</si>
  <si>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</si>
  <si>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</si>
  <si>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</si>
  <si>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</si>
  <si>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</si>
  <si>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</si>
  <si>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</si>
  <si>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</si>
  <si>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</si>
  <si>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</si>
  <si>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</si>
  <si>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</si>
  <si>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</si>
  <si>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</si>
  <si>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</si>
  <si>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</si>
  <si>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</si>
  <si>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</si>
  <si>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</si>
  <si>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</si>
  <si>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</si>
  <si>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</si>
  <si>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</si>
  <si>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</si>
  <si>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</si>
  <si>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</si>
  <si>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</si>
  <si>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</si>
  <si>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</si>
  <si>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</si>
  <si>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</si>
  <si>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</si>
  <si>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</si>
  <si>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</si>
  <si>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</si>
  <si>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</si>
  <si>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</si>
  <si>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</si>
  <si>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</si>
  <si>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</si>
  <si>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</si>
  <si>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</si>
  <si>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</si>
  <si>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</si>
  <si>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</si>
  <si>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</si>
  <si>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</si>
  <si>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</si>
  <si>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</si>
  <si>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</si>
  <si>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</si>
  <si>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</si>
  <si>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</si>
  <si>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</si>
  <si>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</si>
  <si>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</si>
  <si>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</si>
  <si>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</si>
  <si>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</si>
  <si>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</si>
  <si>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</si>
  <si>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</si>
  <si>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</si>
  <si>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</si>
  <si>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</si>
  <si>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</si>
  <si>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</si>
  <si>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</si>
  <si>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</si>
  <si>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</si>
  <si>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</si>
  <si>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</si>
  <si>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</si>
  <si>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</si>
  <si>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</si>
  <si>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</si>
  <si>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</si>
  <si>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</si>
  <si>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</si>
  <si>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</si>
  <si>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</si>
  <si>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</si>
  <si>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</si>
  <si>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</si>
  <si>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</si>
  <si>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</si>
  <si>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</si>
  <si>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</si>
  <si>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</si>
  <si>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</si>
  <si>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</si>
  <si>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</si>
  <si>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</si>
  <si>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</si>
  <si>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</si>
  <si>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</si>
  <si>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</si>
  <si>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</si>
  <si>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</si>
  <si>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</si>
  <si>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</si>
  <si>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</si>
  <si>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</si>
  <si>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</si>
  <si>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</si>
  <si>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</si>
  <si>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</si>
  <si>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</si>
  <si>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</si>
  <si>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</si>
  <si>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</si>
  <si>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</si>
  <si>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</si>
  <si>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</si>
  <si>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</si>
  <si>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</si>
  <si>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</si>
  <si>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</si>
  <si>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</si>
  <si>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</si>
  <si>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</si>
  <si>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</si>
  <si>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</si>
  <si>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</si>
  <si>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</si>
  <si>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</si>
  <si>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</si>
  <si>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</si>
  <si>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</si>
  <si>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</si>
  <si>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</si>
  <si>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</si>
  <si>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</si>
  <si>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</si>
  <si>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</si>
  <si>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</si>
  <si>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</si>
  <si>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</si>
  <si>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</si>
  <si>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</si>
  <si>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</si>
  <si>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</si>
  <si>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</si>
  <si>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</si>
  <si>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</si>
  <si>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</si>
  <si>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</si>
  <si>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</si>
  <si>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</si>
  <si>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</si>
  <si>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</si>
  <si>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</si>
  <si>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</si>
  <si>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</si>
  <si>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</si>
  <si>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</si>
  <si>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</si>
  <si>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</si>
  <si>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</si>
  <si>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</si>
  <si>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</si>
  <si>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</si>
  <si>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</si>
  <si>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</si>
  <si>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</si>
  <si>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</si>
  <si>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</si>
  <si>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</si>
  <si>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</si>
  <si>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</si>
  <si>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</si>
  <si>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</si>
  <si>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</si>
  <si>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</si>
  <si>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</si>
  <si>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</si>
  <si>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</si>
  <si>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</si>
  <si>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</si>
  <si>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</si>
  <si>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</si>
  <si>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</si>
  <si>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</si>
  <si>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</si>
  <si>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</si>
  <si>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</si>
  <si>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08/03</t>
  </si>
  <si>
    <t>08/23</t>
  </si>
  <si>
    <t xml:space="preserve">Revenues received $4,690,146.40 versus expected of $4,687,292. Diff of $2,854.40 </t>
  </si>
  <si>
    <t xml:space="preserve">The amount reported is the amount received from the Town. They at times make extra payments so when cash flow is tight </t>
  </si>
  <si>
    <t xml:space="preserve">they can reduce the payments without impacting the school. 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</si>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</sst>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17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573</v>
      </c>
      <c r="C2" s="21">
        <v>573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361610.11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545278.61</v>
      </c>
      <c r="G12" s="18">
        <v>84835.87</v>
      </c>
      <c r="H12" s="18">
        <v>375802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20266.93</v>
      </c>
      <c r="H13" s="18"/>
      <c r="I13" s="18"/>
      <c r="J13" s="67">
        <f>SUM(I442)</f>
        <v>381225.36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65000</v>
      </c>
      <c r="G14" s="18">
        <v>3675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971888.72</v>
      </c>
      <c r="G19" s="41">
        <f>SUM(G9:G18)</f>
        <v>108777.79999999999</v>
      </c>
      <c r="H19" s="41">
        <f>SUM(H9:H18)</f>
        <v>375802</v>
      </c>
      <c r="I19" s="41">
        <f>SUM(I9:I18)</f>
        <v>0</v>
      </c>
      <c r="J19" s="41">
        <f>SUM(J9:J18)</f>
        <v>381225.36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65000</v>
      </c>
      <c r="G24" s="18">
        <v>1200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280545.31</v>
      </c>
      <c r="G28" s="18"/>
      <c r="H28" s="18">
        <v>13747.45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345545.31</v>
      </c>
      <c r="G32" s="41">
        <f>SUM(G22:G31)</f>
        <v>1200</v>
      </c>
      <c r="H32" s="41">
        <f>SUM(H22:H31)</f>
        <v>13747.45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107577.8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381225.36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339343.41</v>
      </c>
      <c r="G49" s="18"/>
      <c r="H49" s="18">
        <v>362054.55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237000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626343.40999999992</v>
      </c>
      <c r="G51" s="41">
        <f>SUM(G35:G50)</f>
        <v>107577.8</v>
      </c>
      <c r="H51" s="41">
        <f>SUM(H35:H50)</f>
        <v>362054.55</v>
      </c>
      <c r="I51" s="41">
        <f>SUM(I35:I50)</f>
        <v>0</v>
      </c>
      <c r="J51" s="41">
        <f>SUM(J35:J50)</f>
        <v>381225.36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971888.72</v>
      </c>
      <c r="G52" s="41">
        <f>G51+G32</f>
        <v>108777.8</v>
      </c>
      <c r="H52" s="41">
        <f>H51+H32</f>
        <v>375802</v>
      </c>
      <c r="I52" s="41">
        <f>I51+I32</f>
        <v>0</v>
      </c>
      <c r="J52" s="41">
        <f>J51+J32</f>
        <v>381225.36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4690146.4000000004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4690146.4000000004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460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43877.86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44337.86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32.14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43750.58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7590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/>
      <c r="H102" s="18">
        <v>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53704.45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105395.85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254.68</v>
      </c>
      <c r="G110" s="18">
        <v>0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166944.97999999998</v>
      </c>
      <c r="G111" s="41">
        <f>SUM(G96:G110)</f>
        <v>43750.58</v>
      </c>
      <c r="H111" s="41">
        <f>SUM(H96:H110)</f>
        <v>0</v>
      </c>
      <c r="I111" s="41">
        <f>SUM(I96:I110)</f>
        <v>0</v>
      </c>
      <c r="J111" s="41">
        <f>SUM(J96:J110)</f>
        <v>32.14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4901429.24</v>
      </c>
      <c r="G112" s="41">
        <f>G60+G111</f>
        <v>43750.58</v>
      </c>
      <c r="H112" s="41">
        <f>H60+H79+H94+H111</f>
        <v>0</v>
      </c>
      <c r="I112" s="41">
        <f>I60+I111</f>
        <v>0</v>
      </c>
      <c r="J112" s="41">
        <f>J60+J111</f>
        <v>32.14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4266464.16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627445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4893909.16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61928.160000000003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71567.33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3355.79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133495.49</v>
      </c>
      <c r="G136" s="41">
        <f>SUM(G123:G135)</f>
        <v>3355.79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5027404.6500000004</v>
      </c>
      <c r="G140" s="41">
        <f>G121+SUM(G136:G137)</f>
        <v>3355.79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71000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313566.99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129080.48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182592.57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143277.37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1421.25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1421.25</v>
      </c>
      <c r="G162" s="41">
        <f>SUM(G150:G161)</f>
        <v>182592.57</v>
      </c>
      <c r="H162" s="41">
        <f>SUM(H150:H161)</f>
        <v>656924.84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1421.25</v>
      </c>
      <c r="G169" s="41">
        <f>G147+G162+SUM(G163:G168)</f>
        <v>182592.57</v>
      </c>
      <c r="H169" s="41">
        <f>H147+H162+SUM(H163:H168)</f>
        <v>656924.84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9930255.1400000006</v>
      </c>
      <c r="G193" s="47">
        <f>G112+G140+G169+G192</f>
        <v>229698.94</v>
      </c>
      <c r="H193" s="47">
        <f>H112+H140+H169+H192</f>
        <v>656924.84</v>
      </c>
      <c r="I193" s="47">
        <f>I112+I140+I169+I192</f>
        <v>0</v>
      </c>
      <c r="J193" s="47">
        <f>J112+J140+J192</f>
        <v>75032.14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1436951.47</v>
      </c>
      <c r="G197" s="18">
        <v>771201.31</v>
      </c>
      <c r="H197" s="18">
        <v>3295.6</v>
      </c>
      <c r="I197" s="18">
        <v>46503.040000000001</v>
      </c>
      <c r="J197" s="18"/>
      <c r="K197" s="18">
        <v>259</v>
      </c>
      <c r="L197" s="19">
        <f>SUM(F197:K197)</f>
        <v>2258210.4200000004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931742.26</v>
      </c>
      <c r="G198" s="18">
        <v>268973.01</v>
      </c>
      <c r="H198" s="18">
        <v>503879.46</v>
      </c>
      <c r="I198" s="18">
        <v>3546.46</v>
      </c>
      <c r="J198" s="18"/>
      <c r="K198" s="18"/>
      <c r="L198" s="19">
        <f>SUM(F198:K198)</f>
        <v>1708141.19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42800.01</v>
      </c>
      <c r="G200" s="18">
        <v>14716.29</v>
      </c>
      <c r="H200" s="18">
        <v>2020</v>
      </c>
      <c r="I200" s="18">
        <v>6867.29</v>
      </c>
      <c r="J200" s="18"/>
      <c r="K200" s="18"/>
      <c r="L200" s="19">
        <f>SUM(F200:K200)</f>
        <v>66403.59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319060.78000000003</v>
      </c>
      <c r="G202" s="18">
        <v>148048.84</v>
      </c>
      <c r="H202" s="18">
        <v>179.99</v>
      </c>
      <c r="I202" s="18">
        <v>3747.97</v>
      </c>
      <c r="J202" s="18"/>
      <c r="K202" s="18"/>
      <c r="L202" s="19">
        <f t="shared" ref="L202:L208" si="0">SUM(F202:K202)</f>
        <v>471037.57999999996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96549.73</v>
      </c>
      <c r="G203" s="18">
        <v>60715.47</v>
      </c>
      <c r="H203" s="18">
        <v>12127.1</v>
      </c>
      <c r="I203" s="18">
        <v>2773.84</v>
      </c>
      <c r="J203" s="18"/>
      <c r="K203" s="18"/>
      <c r="L203" s="19">
        <f t="shared" si="0"/>
        <v>172166.14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112023.46</v>
      </c>
      <c r="G204" s="18">
        <v>94695.91</v>
      </c>
      <c r="H204" s="18">
        <v>38554.86</v>
      </c>
      <c r="I204" s="18">
        <v>13976.06</v>
      </c>
      <c r="J204" s="18">
        <v>0</v>
      </c>
      <c r="K204" s="18">
        <v>11706.44</v>
      </c>
      <c r="L204" s="19">
        <f t="shared" si="0"/>
        <v>270956.73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147352.6</v>
      </c>
      <c r="G205" s="18">
        <v>80981.73</v>
      </c>
      <c r="H205" s="18">
        <v>4629.3900000000003</v>
      </c>
      <c r="I205" s="18">
        <v>1146.71</v>
      </c>
      <c r="J205" s="18"/>
      <c r="K205" s="18">
        <v>99</v>
      </c>
      <c r="L205" s="19">
        <f t="shared" si="0"/>
        <v>234209.43000000002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82059.66</v>
      </c>
      <c r="G206" s="18">
        <v>33634.19</v>
      </c>
      <c r="H206" s="18"/>
      <c r="I206" s="18"/>
      <c r="J206" s="18"/>
      <c r="K206" s="18"/>
      <c r="L206" s="19">
        <f t="shared" si="0"/>
        <v>115693.85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155995.06</v>
      </c>
      <c r="G207" s="18">
        <v>64542.64</v>
      </c>
      <c r="H207" s="18">
        <v>116131.34</v>
      </c>
      <c r="I207" s="18">
        <v>232666.23999999999</v>
      </c>
      <c r="J207" s="18">
        <v>11634.73</v>
      </c>
      <c r="K207" s="18"/>
      <c r="L207" s="19">
        <f t="shared" si="0"/>
        <v>580970.01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3640</v>
      </c>
      <c r="G208" s="18">
        <v>278.5</v>
      </c>
      <c r="H208" s="18">
        <v>369039.26</v>
      </c>
      <c r="I208" s="18"/>
      <c r="J208" s="18"/>
      <c r="K208" s="18"/>
      <c r="L208" s="19">
        <f t="shared" si="0"/>
        <v>372957.76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30000</v>
      </c>
      <c r="G209" s="18">
        <v>5572.03</v>
      </c>
      <c r="H209" s="18">
        <v>89026.85</v>
      </c>
      <c r="I209" s="18">
        <v>15146.77</v>
      </c>
      <c r="J209" s="18">
        <v>20964.12</v>
      </c>
      <c r="K209" s="18"/>
      <c r="L209" s="19">
        <f>SUM(F209:K209)</f>
        <v>160709.76999999999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3358175.03</v>
      </c>
      <c r="G211" s="41">
        <f t="shared" si="1"/>
        <v>1543359.92</v>
      </c>
      <c r="H211" s="41">
        <f t="shared" si="1"/>
        <v>1138883.8500000001</v>
      </c>
      <c r="I211" s="41">
        <f t="shared" si="1"/>
        <v>326374.38</v>
      </c>
      <c r="J211" s="41">
        <f t="shared" si="1"/>
        <v>32598.85</v>
      </c>
      <c r="K211" s="41">
        <f t="shared" si="1"/>
        <v>12064.44</v>
      </c>
      <c r="L211" s="41">
        <f t="shared" si="1"/>
        <v>6411456.4699999988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1607878.15</v>
      </c>
      <c r="I233" s="18"/>
      <c r="J233" s="18"/>
      <c r="K233" s="18"/>
      <c r="L233" s="19">
        <f>SUM(F233:K233)</f>
        <v>1607878.15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1355983.52</v>
      </c>
      <c r="I234" s="18"/>
      <c r="J234" s="18"/>
      <c r="K234" s="18"/>
      <c r="L234" s="19">
        <f>SUM(F234:K234)</f>
        <v>1355983.52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207395.87</v>
      </c>
      <c r="I244" s="18"/>
      <c r="J244" s="18"/>
      <c r="K244" s="18"/>
      <c r="L244" s="19">
        <f t="shared" si="4"/>
        <v>207395.87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3171257.54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3171257.54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3358175.03</v>
      </c>
      <c r="G257" s="41">
        <f t="shared" si="8"/>
        <v>1543359.92</v>
      </c>
      <c r="H257" s="41">
        <f t="shared" si="8"/>
        <v>4310141.3900000006</v>
      </c>
      <c r="I257" s="41">
        <f t="shared" si="8"/>
        <v>326374.38</v>
      </c>
      <c r="J257" s="41">
        <f t="shared" si="8"/>
        <v>32598.85</v>
      </c>
      <c r="K257" s="41">
        <f t="shared" si="8"/>
        <v>12064.44</v>
      </c>
      <c r="L257" s="41">
        <f t="shared" si="8"/>
        <v>9582714.0099999979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175000</v>
      </c>
      <c r="L260" s="19">
        <f>SUM(F260:K260)</f>
        <v>175000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66682</v>
      </c>
      <c r="L261" s="19">
        <f>SUM(F261:K261)</f>
        <v>66682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316682</v>
      </c>
      <c r="L270" s="41">
        <f t="shared" si="9"/>
        <v>316682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3358175.03</v>
      </c>
      <c r="G271" s="42">
        <f t="shared" si="11"/>
        <v>1543359.92</v>
      </c>
      <c r="H271" s="42">
        <f t="shared" si="11"/>
        <v>4310141.3900000006</v>
      </c>
      <c r="I271" s="42">
        <f t="shared" si="11"/>
        <v>326374.38</v>
      </c>
      <c r="J271" s="42">
        <f t="shared" si="11"/>
        <v>32598.85</v>
      </c>
      <c r="K271" s="42">
        <f t="shared" si="11"/>
        <v>328746.44</v>
      </c>
      <c r="L271" s="42">
        <f t="shared" si="11"/>
        <v>9899396.0099999979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248337.55</v>
      </c>
      <c r="G276" s="18">
        <v>44021.72</v>
      </c>
      <c r="H276" s="18"/>
      <c r="I276" s="18"/>
      <c r="J276" s="18"/>
      <c r="K276" s="18"/>
      <c r="L276" s="19">
        <f>SUM(F276:K276)</f>
        <v>292359.27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42828.46</v>
      </c>
      <c r="G277" s="18">
        <v>19790.740000000002</v>
      </c>
      <c r="H277" s="18">
        <v>22477.74</v>
      </c>
      <c r="I277" s="18">
        <v>2090.92</v>
      </c>
      <c r="J277" s="18"/>
      <c r="K277" s="18"/>
      <c r="L277" s="19">
        <f>SUM(F277:K277)</f>
        <v>87187.86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129497.39</v>
      </c>
      <c r="I279" s="18">
        <v>2700.94</v>
      </c>
      <c r="J279" s="18"/>
      <c r="K279" s="18"/>
      <c r="L279" s="19">
        <f>SUM(F279:K279)</f>
        <v>132198.32999999999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34462</v>
      </c>
      <c r="G281" s="18">
        <v>15610.6</v>
      </c>
      <c r="H281" s="18"/>
      <c r="I281" s="18"/>
      <c r="J281" s="18"/>
      <c r="K281" s="18"/>
      <c r="L281" s="19">
        <f t="shared" ref="L281:L287" si="12">SUM(F281:K281)</f>
        <v>50072.6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59918.3</v>
      </c>
      <c r="G282" s="18">
        <v>26328.240000000002</v>
      </c>
      <c r="H282" s="18">
        <v>2142</v>
      </c>
      <c r="I282" s="18">
        <v>18916.22</v>
      </c>
      <c r="J282" s="18"/>
      <c r="K282" s="18">
        <v>105.88</v>
      </c>
      <c r="L282" s="19">
        <f t="shared" si="12"/>
        <v>107410.64000000001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385546.31</v>
      </c>
      <c r="G290" s="42">
        <f t="shared" si="13"/>
        <v>105751.30000000002</v>
      </c>
      <c r="H290" s="42">
        <f t="shared" si="13"/>
        <v>154117.13</v>
      </c>
      <c r="I290" s="42">
        <f t="shared" si="13"/>
        <v>23708.080000000002</v>
      </c>
      <c r="J290" s="42">
        <f t="shared" si="13"/>
        <v>0</v>
      </c>
      <c r="K290" s="42">
        <f t="shared" si="13"/>
        <v>105.88</v>
      </c>
      <c r="L290" s="41">
        <f t="shared" si="13"/>
        <v>669228.69999999995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385546.31</v>
      </c>
      <c r="G338" s="41">
        <f t="shared" si="20"/>
        <v>105751.30000000002</v>
      </c>
      <c r="H338" s="41">
        <f t="shared" si="20"/>
        <v>154117.13</v>
      </c>
      <c r="I338" s="41">
        <f t="shared" si="20"/>
        <v>23708.080000000002</v>
      </c>
      <c r="J338" s="41">
        <f t="shared" si="20"/>
        <v>0</v>
      </c>
      <c r="K338" s="41">
        <f t="shared" si="20"/>
        <v>105.88</v>
      </c>
      <c r="L338" s="41">
        <f t="shared" si="20"/>
        <v>669228.69999999995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385546.31</v>
      </c>
      <c r="G352" s="41">
        <f>G338</f>
        <v>105751.30000000002</v>
      </c>
      <c r="H352" s="41">
        <f>H338</f>
        <v>154117.13</v>
      </c>
      <c r="I352" s="41">
        <f>I338</f>
        <v>23708.080000000002</v>
      </c>
      <c r="J352" s="41">
        <f>J338</f>
        <v>0</v>
      </c>
      <c r="K352" s="47">
        <f>K338+K351</f>
        <v>105.88</v>
      </c>
      <c r="L352" s="41">
        <f>L338+L351</f>
        <v>669228.69999999995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94576.8</v>
      </c>
      <c r="G358" s="18">
        <v>17573</v>
      </c>
      <c r="H358" s="18">
        <v>5586.29</v>
      </c>
      <c r="I358" s="18">
        <v>103468.3</v>
      </c>
      <c r="J358" s="18">
        <v>2911.28</v>
      </c>
      <c r="K358" s="18">
        <v>39.25</v>
      </c>
      <c r="L358" s="13">
        <f>SUM(F358:K358)</f>
        <v>224154.92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94576.8</v>
      </c>
      <c r="G362" s="47">
        <f t="shared" si="22"/>
        <v>17573</v>
      </c>
      <c r="H362" s="47">
        <f t="shared" si="22"/>
        <v>5586.29</v>
      </c>
      <c r="I362" s="47">
        <f t="shared" si="22"/>
        <v>103468.3</v>
      </c>
      <c r="J362" s="47">
        <f t="shared" si="22"/>
        <v>2911.28</v>
      </c>
      <c r="K362" s="47">
        <f t="shared" si="22"/>
        <v>39.25</v>
      </c>
      <c r="L362" s="47">
        <f t="shared" si="22"/>
        <v>224154.92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98140.74</v>
      </c>
      <c r="G367" s="18"/>
      <c r="H367" s="18"/>
      <c r="I367" s="56">
        <f>SUM(F367:H367)</f>
        <v>98140.74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5327.56</v>
      </c>
      <c r="G368" s="63"/>
      <c r="H368" s="63"/>
      <c r="I368" s="56">
        <f>SUM(F368:H368)</f>
        <v>5327.56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103468.3</v>
      </c>
      <c r="G369" s="47">
        <f>SUM(G367:G368)</f>
        <v>0</v>
      </c>
      <c r="H369" s="47">
        <f>SUM(H367:H368)</f>
        <v>0</v>
      </c>
      <c r="I369" s="47">
        <f>SUM(I367:I368)</f>
        <v>103468.3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25000</v>
      </c>
      <c r="H389" s="18">
        <v>19.72</v>
      </c>
      <c r="I389" s="18"/>
      <c r="J389" s="24" t="s">
        <v>289</v>
      </c>
      <c r="K389" s="24" t="s">
        <v>289</v>
      </c>
      <c r="L389" s="56">
        <f t="shared" si="25"/>
        <v>25019.72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19.72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25019.72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12.42</v>
      </c>
      <c r="I397" s="18"/>
      <c r="J397" s="24" t="s">
        <v>289</v>
      </c>
      <c r="K397" s="24" t="s">
        <v>289</v>
      </c>
      <c r="L397" s="56">
        <f t="shared" si="26"/>
        <v>50012.42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12.42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50012.42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32.14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75032.14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227397.77</v>
      </c>
      <c r="G442" s="18">
        <v>153827.59</v>
      </c>
      <c r="H442" s="18"/>
      <c r="I442" s="56">
        <f t="shared" si="33"/>
        <v>381225.36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227397.77</v>
      </c>
      <c r="G446" s="13">
        <f>SUM(G439:G445)</f>
        <v>153827.59</v>
      </c>
      <c r="H446" s="13">
        <f>SUM(H439:H445)</f>
        <v>0</v>
      </c>
      <c r="I446" s="13">
        <f>SUM(I439:I445)</f>
        <v>381225.36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227397.77</v>
      </c>
      <c r="G459" s="18">
        <v>153827.59</v>
      </c>
      <c r="H459" s="18"/>
      <c r="I459" s="56">
        <f t="shared" si="34"/>
        <v>381225.36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227397.77</v>
      </c>
      <c r="G460" s="83">
        <f>SUM(G454:G459)</f>
        <v>153827.59</v>
      </c>
      <c r="H460" s="83">
        <f>SUM(H454:H459)</f>
        <v>0</v>
      </c>
      <c r="I460" s="83">
        <f>SUM(I454:I459)</f>
        <v>381225.36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227397.77</v>
      </c>
      <c r="G461" s="42">
        <f>G452+G460</f>
        <v>153827.59</v>
      </c>
      <c r="H461" s="42">
        <f>H452+H460</f>
        <v>0</v>
      </c>
      <c r="I461" s="42">
        <f>I452+I460</f>
        <v>381225.36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595484.28</v>
      </c>
      <c r="G465" s="18">
        <v>102033.78</v>
      </c>
      <c r="H465" s="18">
        <v>374358.41</v>
      </c>
      <c r="I465" s="18"/>
      <c r="J465" s="18">
        <v>306193.21999999997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9930255.1400000006</v>
      </c>
      <c r="G468" s="18">
        <v>229698.94</v>
      </c>
      <c r="H468" s="18">
        <v>656924.84</v>
      </c>
      <c r="I468" s="18"/>
      <c r="J468" s="18">
        <v>75032.14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9930255.1400000006</v>
      </c>
      <c r="G470" s="53">
        <f>SUM(G468:G469)</f>
        <v>229698.94</v>
      </c>
      <c r="H470" s="53">
        <f>SUM(H468:H469)</f>
        <v>656924.84</v>
      </c>
      <c r="I470" s="53">
        <f>SUM(I468:I469)</f>
        <v>0</v>
      </c>
      <c r="J470" s="53">
        <f>SUM(J468:J469)</f>
        <v>75032.14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9899396.0099999998</v>
      </c>
      <c r="G472" s="18">
        <v>224154.92</v>
      </c>
      <c r="H472" s="18">
        <v>669228.69999999995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9899396.0099999998</v>
      </c>
      <c r="G474" s="53">
        <f>SUM(G472:G473)</f>
        <v>224154.92</v>
      </c>
      <c r="H474" s="53">
        <f>SUM(H472:H473)</f>
        <v>669228.69999999995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626343.41000000015</v>
      </c>
      <c r="G476" s="53">
        <f>(G465+G470)- G474</f>
        <v>107577.79999999996</v>
      </c>
      <c r="H476" s="53">
        <f>(H465+H470)- H474</f>
        <v>362054.55000000005</v>
      </c>
      <c r="I476" s="53">
        <f>(I465+I470)- I474</f>
        <v>0</v>
      </c>
      <c r="J476" s="53">
        <f>(J465+J470)- J474</f>
        <v>381225.36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3504725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1750000</v>
      </c>
      <c r="G495" s="18"/>
      <c r="H495" s="18"/>
      <c r="I495" s="18"/>
      <c r="J495" s="18"/>
      <c r="K495" s="53">
        <f>SUM(F495:J495)</f>
        <v>1750000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175000</v>
      </c>
      <c r="G497" s="18"/>
      <c r="H497" s="18"/>
      <c r="I497" s="18"/>
      <c r="J497" s="18"/>
      <c r="K497" s="53">
        <f t="shared" si="35"/>
        <v>175000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1575000</v>
      </c>
      <c r="G498" s="204"/>
      <c r="H498" s="204"/>
      <c r="I498" s="204"/>
      <c r="J498" s="204"/>
      <c r="K498" s="205">
        <f t="shared" si="35"/>
        <v>1575000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265069</v>
      </c>
      <c r="G499" s="18"/>
      <c r="H499" s="18"/>
      <c r="I499" s="18"/>
      <c r="J499" s="18"/>
      <c r="K499" s="53">
        <f t="shared" si="35"/>
        <v>265069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1840069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1840069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175000</v>
      </c>
      <c r="G501" s="204"/>
      <c r="H501" s="204"/>
      <c r="I501" s="204"/>
      <c r="J501" s="204"/>
      <c r="K501" s="205">
        <f t="shared" si="35"/>
        <v>175000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59682</v>
      </c>
      <c r="G502" s="18"/>
      <c r="H502" s="18"/>
      <c r="I502" s="18"/>
      <c r="J502" s="18"/>
      <c r="K502" s="53">
        <f t="shared" si="35"/>
        <v>59682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234682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234682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931742.26</v>
      </c>
      <c r="G521" s="18">
        <v>268973.01</v>
      </c>
      <c r="H521" s="18">
        <v>628233.34</v>
      </c>
      <c r="I521" s="18">
        <v>3546.46</v>
      </c>
      <c r="J521" s="18"/>
      <c r="K521" s="18"/>
      <c r="L521" s="88">
        <f>SUM(F521:K521)</f>
        <v>1832495.0699999998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1355983.52</v>
      </c>
      <c r="I523" s="18"/>
      <c r="J523" s="18"/>
      <c r="K523" s="18"/>
      <c r="L523" s="88">
        <f>SUM(F523:K523)</f>
        <v>1355983.52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931742.26</v>
      </c>
      <c r="G524" s="108">
        <f t="shared" ref="G524:L524" si="36">SUM(G521:G523)</f>
        <v>268973.01</v>
      </c>
      <c r="H524" s="108">
        <f t="shared" si="36"/>
        <v>1984216.8599999999</v>
      </c>
      <c r="I524" s="108">
        <f t="shared" si="36"/>
        <v>3546.46</v>
      </c>
      <c r="J524" s="108">
        <f t="shared" si="36"/>
        <v>0</v>
      </c>
      <c r="K524" s="108">
        <f t="shared" si="36"/>
        <v>0</v>
      </c>
      <c r="L524" s="89">
        <f t="shared" si="36"/>
        <v>3188478.59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226738.28</v>
      </c>
      <c r="I526" s="18"/>
      <c r="J526" s="18"/>
      <c r="K526" s="18"/>
      <c r="L526" s="88">
        <f>SUM(F526:K526)</f>
        <v>226738.28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226738.28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226738.28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161921.21</v>
      </c>
      <c r="I541" s="18"/>
      <c r="J541" s="18"/>
      <c r="K541" s="18"/>
      <c r="L541" s="88">
        <f>SUM(F541:K541)</f>
        <v>161921.21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132480.99</v>
      </c>
      <c r="I543" s="18"/>
      <c r="J543" s="18"/>
      <c r="K543" s="18"/>
      <c r="L543" s="88">
        <f>SUM(F543:K543)</f>
        <v>132480.99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294402.19999999995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294402.19999999995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931742.26</v>
      </c>
      <c r="G545" s="89">
        <f t="shared" ref="G545:L545" si="41">G524+G529+G534+G539+G544</f>
        <v>268973.01</v>
      </c>
      <c r="H545" s="89">
        <f t="shared" si="41"/>
        <v>2505357.34</v>
      </c>
      <c r="I545" s="89">
        <f t="shared" si="41"/>
        <v>3546.46</v>
      </c>
      <c r="J545" s="89">
        <f t="shared" si="41"/>
        <v>0</v>
      </c>
      <c r="K545" s="89">
        <f t="shared" si="41"/>
        <v>0</v>
      </c>
      <c r="L545" s="89">
        <f t="shared" si="41"/>
        <v>3709619.0699999994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1832495.0699999998</v>
      </c>
      <c r="G549" s="87">
        <f>L526</f>
        <v>226738.28</v>
      </c>
      <c r="H549" s="87">
        <f>L531</f>
        <v>0</v>
      </c>
      <c r="I549" s="87">
        <f>L536</f>
        <v>0</v>
      </c>
      <c r="J549" s="87">
        <f>L541</f>
        <v>161921.21</v>
      </c>
      <c r="K549" s="87">
        <f>SUM(F549:J549)</f>
        <v>2221154.56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1355983.52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132480.99</v>
      </c>
      <c r="K551" s="87">
        <f>SUM(F551:J551)</f>
        <v>1488464.51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3188478.59</v>
      </c>
      <c r="G552" s="89">
        <f t="shared" si="42"/>
        <v>226738.28</v>
      </c>
      <c r="H552" s="89">
        <f t="shared" si="42"/>
        <v>0</v>
      </c>
      <c r="I552" s="89">
        <f t="shared" si="42"/>
        <v>0</v>
      </c>
      <c r="J552" s="89">
        <f t="shared" si="42"/>
        <v>294402.19999999995</v>
      </c>
      <c r="K552" s="89">
        <f t="shared" si="42"/>
        <v>3709619.0700000003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10232</v>
      </c>
      <c r="G562" s="18">
        <v>782.74</v>
      </c>
      <c r="H562" s="18"/>
      <c r="I562" s="18"/>
      <c r="J562" s="18"/>
      <c r="K562" s="18"/>
      <c r="L562" s="88">
        <f>SUM(F562:K562)</f>
        <v>11014.74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10232</v>
      </c>
      <c r="G565" s="89">
        <f t="shared" si="44"/>
        <v>782.74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11014.74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10232</v>
      </c>
      <c r="G571" s="89">
        <f t="shared" ref="G571:L571" si="46">G560+G565+G570</f>
        <v>782.74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11014.74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1604856.52</v>
      </c>
      <c r="I575" s="87">
        <f>SUM(F575:H575)</f>
        <v>1604856.52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3021.63</v>
      </c>
      <c r="I576" s="87">
        <f t="shared" ref="I576:I587" si="47">SUM(F576:H576)</f>
        <v>3021.63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1231629.6399999999</v>
      </c>
      <c r="I579" s="87">
        <f t="shared" si="47"/>
        <v>1231629.6399999999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155092.76</v>
      </c>
      <c r="G582" s="18"/>
      <c r="H582" s="18">
        <v>124353.88</v>
      </c>
      <c r="I582" s="87">
        <f t="shared" si="47"/>
        <v>279446.64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202547.67</v>
      </c>
      <c r="I591" s="18"/>
      <c r="J591" s="18">
        <v>74914.880000000005</v>
      </c>
      <c r="K591" s="104">
        <f t="shared" ref="K591:K597" si="48">SUM(H591:J591)</f>
        <v>277462.55000000005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161921.21</v>
      </c>
      <c r="I592" s="18"/>
      <c r="J592" s="18">
        <v>132480.99</v>
      </c>
      <c r="K592" s="104">
        <f t="shared" si="48"/>
        <v>294402.19999999995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1828.78</v>
      </c>
      <c r="I594" s="18"/>
      <c r="J594" s="18"/>
      <c r="K594" s="104">
        <f t="shared" si="48"/>
        <v>1828.78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2741.6</v>
      </c>
      <c r="I595" s="18"/>
      <c r="J595" s="18"/>
      <c r="K595" s="104">
        <f t="shared" si="48"/>
        <v>2741.6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3918.5</v>
      </c>
      <c r="I597" s="18"/>
      <c r="J597" s="18"/>
      <c r="K597" s="104">
        <f t="shared" si="48"/>
        <v>3918.5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372957.76</v>
      </c>
      <c r="I598" s="108">
        <f>SUM(I591:I597)</f>
        <v>0</v>
      </c>
      <c r="J598" s="108">
        <f>SUM(J591:J597)</f>
        <v>207395.87</v>
      </c>
      <c r="K598" s="108">
        <f>SUM(K591:K597)</f>
        <v>580353.63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32598.85</v>
      </c>
      <c r="I604" s="18"/>
      <c r="J604" s="18"/>
      <c r="K604" s="104">
        <f>SUM(H604:J604)</f>
        <v>32598.85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32598.85</v>
      </c>
      <c r="I605" s="108">
        <f>SUM(I602:I604)</f>
        <v>0</v>
      </c>
      <c r="J605" s="108">
        <f>SUM(J602:J604)</f>
        <v>0</v>
      </c>
      <c r="K605" s="108">
        <f>SUM(K602:K604)</f>
        <v>32598.85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971888.72</v>
      </c>
      <c r="H617" s="109">
        <f>SUM(F52)</f>
        <v>971888.72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108777.79999999999</v>
      </c>
      <c r="H618" s="109">
        <f>SUM(G52)</f>
        <v>108777.8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375802</v>
      </c>
      <c r="H619" s="109">
        <f>SUM(H52)</f>
        <v>375802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381225.36</v>
      </c>
      <c r="H621" s="109">
        <f>SUM(J52)</f>
        <v>381225.36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626343.40999999992</v>
      </c>
      <c r="H622" s="109">
        <f>F476</f>
        <v>626343.41000000015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107577.8</v>
      </c>
      <c r="H623" s="109">
        <f>G476</f>
        <v>107577.79999999996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362054.55</v>
      </c>
      <c r="H624" s="109">
        <f>H476</f>
        <v>362054.55000000005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381225.36</v>
      </c>
      <c r="H626" s="109">
        <f>J476</f>
        <v>381225.36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9930255.1400000006</v>
      </c>
      <c r="H627" s="104">
        <f>SUM(F468)</f>
        <v>9930255.1400000006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229698.94</v>
      </c>
      <c r="H628" s="104">
        <f>SUM(G468)</f>
        <v>229698.94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656924.84</v>
      </c>
      <c r="H629" s="104">
        <f>SUM(H468)</f>
        <v>656924.84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75032.14</v>
      </c>
      <c r="H631" s="104">
        <f>SUM(J468)</f>
        <v>75032.14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9899396.0099999979</v>
      </c>
      <c r="H632" s="104">
        <f>SUM(F472)</f>
        <v>9899396.0099999998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669228.69999999995</v>
      </c>
      <c r="H633" s="104">
        <f>SUM(H472)</f>
        <v>669228.69999999995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103468.3</v>
      </c>
      <c r="H634" s="104">
        <f>I369</f>
        <v>103468.3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224154.92</v>
      </c>
      <c r="H635" s="104">
        <f>SUM(G472)</f>
        <v>224154.92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75032.14</v>
      </c>
      <c r="H637" s="164">
        <f>SUM(J468)</f>
        <v>75032.14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227397.77</v>
      </c>
      <c r="H639" s="104">
        <f>SUM(F461)</f>
        <v>227397.77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153827.59</v>
      </c>
      <c r="H640" s="104">
        <f>SUM(G461)</f>
        <v>153827.59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381225.36</v>
      </c>
      <c r="H642" s="104">
        <f>SUM(I461)</f>
        <v>381225.36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32.14</v>
      </c>
      <c r="H644" s="104">
        <f>H408</f>
        <v>32.14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75032.14</v>
      </c>
      <c r="H646" s="104">
        <f>L408</f>
        <v>75032.14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580353.63</v>
      </c>
      <c r="H647" s="104">
        <f>L208+L226+L244</f>
        <v>580353.63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32598.85</v>
      </c>
      <c r="H648" s="104">
        <f>(J257+J338)-(J255+J336)</f>
        <v>32598.85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372957.76</v>
      </c>
      <c r="H649" s="104">
        <f>H598</f>
        <v>372957.76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207395.87</v>
      </c>
      <c r="H651" s="104">
        <f>J598</f>
        <v>207395.87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7304840.0899999989</v>
      </c>
      <c r="G660" s="19">
        <f>(L229+L309+L359)</f>
        <v>0</v>
      </c>
      <c r="H660" s="19">
        <f>(L247+L328+L360)</f>
        <v>3171257.54</v>
      </c>
      <c r="I660" s="19">
        <f>SUM(F660:H660)</f>
        <v>10476097.629999999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43750.58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43750.58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372957.76</v>
      </c>
      <c r="G662" s="19">
        <f>(L226+L306)-(J226+J306)</f>
        <v>0</v>
      </c>
      <c r="H662" s="19">
        <f>(L244+L325)-(J244+J325)</f>
        <v>207395.87</v>
      </c>
      <c r="I662" s="19">
        <f>SUM(F662:H662)</f>
        <v>580353.63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187691.61000000002</v>
      </c>
      <c r="G663" s="199">
        <f>SUM(G575:G587)+SUM(I602:I604)+L612</f>
        <v>0</v>
      </c>
      <c r="H663" s="199">
        <f>SUM(H575:H587)+SUM(J602:J604)+L613</f>
        <v>2963861.67</v>
      </c>
      <c r="I663" s="19">
        <f>SUM(F663:H663)</f>
        <v>3151553.28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6700440.1399999987</v>
      </c>
      <c r="G664" s="19">
        <f>G660-SUM(G661:G663)</f>
        <v>0</v>
      </c>
      <c r="H664" s="19">
        <f>H660-SUM(H661:H663)</f>
        <v>0</v>
      </c>
      <c r="I664" s="19">
        <f>I660-SUM(I661:I663)</f>
        <v>6700440.1399999987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427.35</v>
      </c>
      <c r="G665" s="248"/>
      <c r="H665" s="248"/>
      <c r="I665" s="19">
        <f>SUM(F665:H665)</f>
        <v>427.35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15679.05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15679.05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15679.05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15679.05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1685289.02</v>
      </c>
      <c r="C9" s="229">
        <f>'DOE25'!G197+'DOE25'!G215+'DOE25'!G233+'DOE25'!G276+'DOE25'!G295+'DOE25'!G314</f>
        <v>815223.03</v>
      </c>
    </row>
    <row r="10" spans="1:3" x14ac:dyDescent="0.2">
      <c r="A10" t="s">
        <v>779</v>
      </c>
      <c r="B10" s="240">
        <v>1673912.42</v>
      </c>
      <c r="C10" s="240">
        <v>814352.71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11376.6</v>
      </c>
      <c r="C12" s="240">
        <v>870.32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1685289.02</v>
      </c>
      <c r="C13" s="231">
        <f>SUM(C10:C12)</f>
        <v>815223.02999999991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974570.72</v>
      </c>
      <c r="C18" s="229">
        <f>'DOE25'!G198+'DOE25'!G216+'DOE25'!G234+'DOE25'!G277+'DOE25'!G296+'DOE25'!G315</f>
        <v>288763.75</v>
      </c>
    </row>
    <row r="19" spans="1:3" x14ac:dyDescent="0.2">
      <c r="A19" t="s">
        <v>779</v>
      </c>
      <c r="B19" s="240">
        <v>500230.33</v>
      </c>
      <c r="C19" s="240">
        <v>233925.57</v>
      </c>
    </row>
    <row r="20" spans="1:3" x14ac:dyDescent="0.2">
      <c r="A20" t="s">
        <v>780</v>
      </c>
      <c r="B20" s="240">
        <v>422896.15</v>
      </c>
      <c r="C20" s="240">
        <v>19790.740000000002</v>
      </c>
    </row>
    <row r="21" spans="1:3" x14ac:dyDescent="0.2">
      <c r="A21" t="s">
        <v>781</v>
      </c>
      <c r="B21" s="240">
        <v>51444.24</v>
      </c>
      <c r="C21" s="240">
        <v>35047.440000000002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974570.72</v>
      </c>
      <c r="C22" s="231">
        <f>SUM(C19:C21)</f>
        <v>288763.75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42800.01</v>
      </c>
      <c r="C36" s="235">
        <f>'DOE25'!G200+'DOE25'!G218+'DOE25'!G236+'DOE25'!G279+'DOE25'!G298+'DOE25'!G317</f>
        <v>14716.29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42800.01</v>
      </c>
      <c r="C39" s="240">
        <v>14716.29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42800.01</v>
      </c>
      <c r="C40" s="231">
        <f>SUM(C37:C39)</f>
        <v>14716.29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6996616.8700000001</v>
      </c>
      <c r="D5" s="20">
        <f>SUM('DOE25'!L197:L200)+SUM('DOE25'!L215:L218)+SUM('DOE25'!L233:L236)-F5-G5</f>
        <v>6996357.8700000001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259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471037.57999999996</v>
      </c>
      <c r="D6" s="20">
        <f>'DOE25'!L202+'DOE25'!L220+'DOE25'!L238-F6-G6</f>
        <v>471037.57999999996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172166.14</v>
      </c>
      <c r="D7" s="20">
        <f>'DOE25'!L203+'DOE25'!L221+'DOE25'!L239-F7-G7</f>
        <v>172166.14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82497.169999999984</v>
      </c>
      <c r="D8" s="243"/>
      <c r="E8" s="20">
        <f>'DOE25'!L204+'DOE25'!L222+'DOE25'!L240-F8-G8-D9-D11</f>
        <v>70790.729999999981</v>
      </c>
      <c r="F8" s="255">
        <f>'DOE25'!J204+'DOE25'!J222+'DOE25'!J240</f>
        <v>0</v>
      </c>
      <c r="G8" s="53">
        <f>'DOE25'!K204+'DOE25'!K222+'DOE25'!K240</f>
        <v>11706.44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37467.1</v>
      </c>
      <c r="D9" s="244">
        <v>37467.1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15000</v>
      </c>
      <c r="D10" s="243"/>
      <c r="E10" s="244">
        <v>15000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150992.46</v>
      </c>
      <c r="D11" s="244">
        <v>150992.46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234209.43000000002</v>
      </c>
      <c r="D12" s="20">
        <f>'DOE25'!L205+'DOE25'!L223+'DOE25'!L241-F12-G12</f>
        <v>234110.43000000002</v>
      </c>
      <c r="E12" s="243"/>
      <c r="F12" s="255">
        <f>'DOE25'!J205+'DOE25'!J223+'DOE25'!J241</f>
        <v>0</v>
      </c>
      <c r="G12" s="53">
        <f>'DOE25'!K205+'DOE25'!K223+'DOE25'!K241</f>
        <v>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115693.85</v>
      </c>
      <c r="D13" s="243"/>
      <c r="E13" s="20">
        <f>'DOE25'!L206+'DOE25'!L224+'DOE25'!L242-F13-G13</f>
        <v>115693.85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580970.01</v>
      </c>
      <c r="D14" s="20">
        <f>'DOE25'!L207+'DOE25'!L225+'DOE25'!L243-F14-G14</f>
        <v>569335.28</v>
      </c>
      <c r="E14" s="243"/>
      <c r="F14" s="255">
        <f>'DOE25'!J207+'DOE25'!J225+'DOE25'!J243</f>
        <v>11634.73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580353.63</v>
      </c>
      <c r="D15" s="20">
        <f>'DOE25'!L208+'DOE25'!L226+'DOE25'!L244-F15-G15</f>
        <v>580353.63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160709.76999999999</v>
      </c>
      <c r="D16" s="243"/>
      <c r="E16" s="20">
        <f>'DOE25'!L209+'DOE25'!L227+'DOE25'!L245-F16-G16</f>
        <v>139745.65</v>
      </c>
      <c r="F16" s="255">
        <f>'DOE25'!J209+'DOE25'!J227+'DOE25'!J245</f>
        <v>20964.12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241682</v>
      </c>
      <c r="D25" s="243"/>
      <c r="E25" s="243"/>
      <c r="F25" s="258"/>
      <c r="G25" s="256"/>
      <c r="H25" s="257">
        <f>'DOE25'!L260+'DOE25'!L261+'DOE25'!L341+'DOE25'!L342</f>
        <v>241682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126014.18000000001</v>
      </c>
      <c r="D29" s="20">
        <f>'DOE25'!L358+'DOE25'!L359+'DOE25'!L360-'DOE25'!I367-F29-G29</f>
        <v>123063.65000000001</v>
      </c>
      <c r="E29" s="243"/>
      <c r="F29" s="255">
        <f>'DOE25'!J358+'DOE25'!J359+'DOE25'!J360</f>
        <v>2911.28</v>
      </c>
      <c r="G29" s="53">
        <f>'DOE25'!K358+'DOE25'!K359+'DOE25'!K360</f>
        <v>39.25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669228.69999999995</v>
      </c>
      <c r="D31" s="20">
        <f>'DOE25'!L290+'DOE25'!L309+'DOE25'!L328+'DOE25'!L333+'DOE25'!L334+'DOE25'!L335-F31-G31</f>
        <v>669122.81999999995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105.88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10004006.960000001</v>
      </c>
      <c r="E33" s="246">
        <f>SUM(E5:E31)</f>
        <v>341230.23</v>
      </c>
      <c r="F33" s="246">
        <f>SUM(F5:F31)</f>
        <v>35510.129999999997</v>
      </c>
      <c r="G33" s="246">
        <f>SUM(G5:G31)</f>
        <v>12209.57</v>
      </c>
      <c r="H33" s="246">
        <f>SUM(H5:H31)</f>
        <v>241682</v>
      </c>
    </row>
    <row r="35" spans="2:8" ht="12" thickBot="1" x14ac:dyDescent="0.25">
      <c r="B35" s="253" t="s">
        <v>847</v>
      </c>
      <c r="D35" s="254">
        <f>E33</f>
        <v>341230.23</v>
      </c>
      <c r="E35" s="249"/>
    </row>
    <row r="36" spans="2:8" ht="12" thickTop="1" x14ac:dyDescent="0.2">
      <c r="B36" t="s">
        <v>815</v>
      </c>
      <c r="D36" s="20">
        <f>D33</f>
        <v>10004006.960000001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361610.11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545278.61</v>
      </c>
      <c r="D11" s="95">
        <f>'DOE25'!G12</f>
        <v>84835.87</v>
      </c>
      <c r="E11" s="95">
        <f>'DOE25'!H12</f>
        <v>375802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20266.93</v>
      </c>
      <c r="E12" s="95">
        <f>'DOE25'!H13</f>
        <v>0</v>
      </c>
      <c r="F12" s="95">
        <f>'DOE25'!I13</f>
        <v>0</v>
      </c>
      <c r="G12" s="95">
        <f>'DOE25'!J13</f>
        <v>381225.36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65000</v>
      </c>
      <c r="D13" s="95">
        <f>'DOE25'!G14</f>
        <v>3675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971888.72</v>
      </c>
      <c r="D18" s="41">
        <f>SUM(D8:D17)</f>
        <v>108777.79999999999</v>
      </c>
      <c r="E18" s="41">
        <f>SUM(E8:E17)</f>
        <v>375802</v>
      </c>
      <c r="F18" s="41">
        <f>SUM(F8:F17)</f>
        <v>0</v>
      </c>
      <c r="G18" s="41">
        <f>SUM(G8:G17)</f>
        <v>381225.36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65000</v>
      </c>
      <c r="D23" s="95">
        <f>'DOE25'!G24</f>
        <v>1200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280545.31</v>
      </c>
      <c r="D27" s="95">
        <f>'DOE25'!G28</f>
        <v>0</v>
      </c>
      <c r="E27" s="95">
        <f>'DOE25'!H28</f>
        <v>13747.45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345545.31</v>
      </c>
      <c r="D31" s="41">
        <f>SUM(D21:D30)</f>
        <v>1200</v>
      </c>
      <c r="E31" s="41">
        <f>SUM(E21:E30)</f>
        <v>13747.45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107577.8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381225.36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339343.41</v>
      </c>
      <c r="D48" s="95">
        <f>'DOE25'!G49</f>
        <v>0</v>
      </c>
      <c r="E48" s="95">
        <f>'DOE25'!H49</f>
        <v>362054.55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237000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626343.40999999992</v>
      </c>
      <c r="D50" s="41">
        <f>SUM(D34:D49)</f>
        <v>107577.8</v>
      </c>
      <c r="E50" s="41">
        <f>SUM(E34:E49)</f>
        <v>362054.55</v>
      </c>
      <c r="F50" s="41">
        <f>SUM(F34:F49)</f>
        <v>0</v>
      </c>
      <c r="G50" s="41">
        <f>SUM(G34:G49)</f>
        <v>381225.36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971888.72</v>
      </c>
      <c r="D51" s="41">
        <f>D50+D31</f>
        <v>108777.8</v>
      </c>
      <c r="E51" s="41">
        <f>E50+E31</f>
        <v>375802</v>
      </c>
      <c r="F51" s="41">
        <f>F50+F31</f>
        <v>0</v>
      </c>
      <c r="G51" s="41">
        <f>G50+G31</f>
        <v>381225.36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4690146.4000000004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44337.86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32.14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43750.58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166944.97999999998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211282.83999999997</v>
      </c>
      <c r="D62" s="130">
        <f>SUM(D57:D61)</f>
        <v>43750.58</v>
      </c>
      <c r="E62" s="130">
        <f>SUM(E57:E61)</f>
        <v>0</v>
      </c>
      <c r="F62" s="130">
        <f>SUM(F57:F61)</f>
        <v>0</v>
      </c>
      <c r="G62" s="130">
        <f>SUM(G57:G61)</f>
        <v>32.14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4901429.24</v>
      </c>
      <c r="D63" s="22">
        <f>D56+D62</f>
        <v>43750.58</v>
      </c>
      <c r="E63" s="22">
        <f>E56+E62</f>
        <v>0</v>
      </c>
      <c r="F63" s="22">
        <f>F56+F62</f>
        <v>0</v>
      </c>
      <c r="G63" s="22">
        <f>G56+G62</f>
        <v>32.14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4266464.16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627445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4893909.16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61928.160000000003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71567.33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3355.79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133495.49</v>
      </c>
      <c r="D78" s="130">
        <f>SUM(D72:D77)</f>
        <v>3355.79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5027404.6500000004</v>
      </c>
      <c r="D81" s="130">
        <f>SUM(D79:D80)+D78+D70</f>
        <v>3355.79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71000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1421.25</v>
      </c>
      <c r="D88" s="95">
        <f>SUM('DOE25'!G153:G161)</f>
        <v>182592.57</v>
      </c>
      <c r="E88" s="95">
        <f>SUM('DOE25'!H153:H161)</f>
        <v>585924.84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1421.25</v>
      </c>
      <c r="D91" s="131">
        <f>SUM(D85:D90)</f>
        <v>182592.57</v>
      </c>
      <c r="E91" s="131">
        <f>SUM(E85:E90)</f>
        <v>656924.84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9930255.1400000006</v>
      </c>
      <c r="D104" s="86">
        <f>D63+D81+D91+D103</f>
        <v>229698.94</v>
      </c>
      <c r="E104" s="86">
        <f>E63+E81+E91+E103</f>
        <v>656924.84</v>
      </c>
      <c r="F104" s="86">
        <f>F63+F81+F91+F103</f>
        <v>0</v>
      </c>
      <c r="G104" s="86">
        <f>G63+G81+G103</f>
        <v>75032.14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3866088.5700000003</v>
      </c>
      <c r="D109" s="24" t="s">
        <v>289</v>
      </c>
      <c r="E109" s="95">
        <f>('DOE25'!L276)+('DOE25'!L295)+('DOE25'!L314)</f>
        <v>292359.27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3064124.71</v>
      </c>
      <c r="D110" s="24" t="s">
        <v>289</v>
      </c>
      <c r="E110" s="95">
        <f>('DOE25'!L277)+('DOE25'!L296)+('DOE25'!L315)</f>
        <v>87187.86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66403.59</v>
      </c>
      <c r="D112" s="24" t="s">
        <v>289</v>
      </c>
      <c r="E112" s="95">
        <f>+('DOE25'!L279)+('DOE25'!L298)+('DOE25'!L317)</f>
        <v>132198.32999999999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6996616.8700000001</v>
      </c>
      <c r="D115" s="86">
        <f>SUM(D109:D114)</f>
        <v>0</v>
      </c>
      <c r="E115" s="86">
        <f>SUM(E109:E114)</f>
        <v>511745.45999999996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471037.57999999996</v>
      </c>
      <c r="D118" s="24" t="s">
        <v>289</v>
      </c>
      <c r="E118" s="95">
        <f>+('DOE25'!L281)+('DOE25'!L300)+('DOE25'!L319)</f>
        <v>50072.6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172166.14</v>
      </c>
      <c r="D119" s="24" t="s">
        <v>289</v>
      </c>
      <c r="E119" s="95">
        <f>+('DOE25'!L282)+('DOE25'!L301)+('DOE25'!L320)</f>
        <v>107410.64000000001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270956.73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234209.43000000002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115693.85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580970.01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580353.63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160709.76999999999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224154.92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2586097.14</v>
      </c>
      <c r="D128" s="86">
        <f>SUM(D118:D127)</f>
        <v>224154.92</v>
      </c>
      <c r="E128" s="86">
        <f>SUM(E118:E127)</f>
        <v>157483.24000000002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66682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25019.72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50012.42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-32.139999999999418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316681.99999999994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9899396.0099999998</v>
      </c>
      <c r="D145" s="86">
        <f>(D115+D128+D144)</f>
        <v>224154.92</v>
      </c>
      <c r="E145" s="86">
        <f>(E115+E128+E144)</f>
        <v>669228.69999999995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3504725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35</v>
      </c>
      <c r="B159" s="137">
        <f>'DOE25'!F498</f>
        <v>1575000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1575000</v>
      </c>
    </row>
    <row r="160" spans="1:9" x14ac:dyDescent="0.2">
      <c r="A160" s="22" t="s">
        <v>36</v>
      </c>
      <c r="B160" s="137">
        <f>'DOE25'!F499</f>
        <v>265069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265069</v>
      </c>
    </row>
    <row r="161" spans="1:7" x14ac:dyDescent="0.2">
      <c r="A161" s="22" t="s">
        <v>37</v>
      </c>
      <c r="B161" s="137">
        <f>'DOE25'!F500</f>
        <v>1840069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1840069</v>
      </c>
    </row>
    <row r="162" spans="1:7" x14ac:dyDescent="0.2">
      <c r="A162" s="22" t="s">
        <v>38</v>
      </c>
      <c r="B162" s="137">
        <f>'DOE25'!F501</f>
        <v>175000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175000</v>
      </c>
    </row>
    <row r="163" spans="1:7" x14ac:dyDescent="0.2">
      <c r="A163" s="22" t="s">
        <v>39</v>
      </c>
      <c r="B163" s="137">
        <f>'DOE25'!F502</f>
        <v>59682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59682</v>
      </c>
    </row>
    <row r="164" spans="1:7" x14ac:dyDescent="0.2">
      <c r="A164" s="22" t="s">
        <v>246</v>
      </c>
      <c r="B164" s="137">
        <f>'DOE25'!F503</f>
        <v>234682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234682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46" sqref="F4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15679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15679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4158448</v>
      </c>
      <c r="D10" s="182">
        <f>ROUND((C10/$C$28)*100,1)</f>
        <v>39.6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3151313</v>
      </c>
      <c r="D11" s="182">
        <f>ROUND((C11/$C$28)*100,1)</f>
        <v>30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198602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521110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279577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431667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234209</v>
      </c>
      <c r="D18" s="182">
        <f t="shared" si="0"/>
        <v>2.2000000000000002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115694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580970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580354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66682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180404.41999999998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10499030.42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10499030.42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4690146</v>
      </c>
      <c r="D35" s="182">
        <f t="shared" ref="D35:D40" si="1">ROUND((C35/$C$41)*100,1)</f>
        <v>43.5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211315.37999999989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4893909</v>
      </c>
      <c r="D37" s="182">
        <f t="shared" si="1"/>
        <v>45.4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136851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840939</v>
      </c>
      <c r="D39" s="182">
        <f t="shared" si="1"/>
        <v>7.8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10773160.379999999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Winchester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2</v>
      </c>
      <c r="B4" s="219">
        <v>1</v>
      </c>
      <c r="C4" s="284" t="s">
        <v>913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914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915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2015-12-07T18:15:22Z</cp:lastPrinted>
  <dcterms:created xsi:type="dcterms:W3CDTF">1997-12-04T19:04:30Z</dcterms:created>
  <dcterms:modified xsi:type="dcterms:W3CDTF">2015-12-08T18:48:44Z</dcterms:modified>
</cp:coreProperties>
</file>