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C39" i="12"/>
  <c r="C21" i="12"/>
  <c r="C20" i="12"/>
  <c r="C19" i="12"/>
  <c r="C12" i="12"/>
  <c r="C11" i="12"/>
  <c r="C10" i="12"/>
  <c r="F582" i="1"/>
  <c r="H579" i="1"/>
  <c r="F502" i="1"/>
  <c r="G502" i="1"/>
  <c r="F5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C122" i="2" s="1"/>
  <c r="F16" i="13"/>
  <c r="G16" i="13"/>
  <c r="E16" i="13" s="1"/>
  <c r="C16" i="13" s="1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C110" i="2" s="1"/>
  <c r="L235" i="1"/>
  <c r="C111" i="2" s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D127" i="2" s="1"/>
  <c r="D128" i="2" s="1"/>
  <c r="I367" i="1"/>
  <c r="I369" i="1" s="1"/>
  <c r="H634" i="1" s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E112" i="2" s="1"/>
  <c r="L319" i="1"/>
  <c r="E118" i="2" s="1"/>
  <c r="L320" i="1"/>
  <c r="E119" i="2" s="1"/>
  <c r="L321" i="1"/>
  <c r="E120" i="2" s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F130" i="2" s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C114" i="2"/>
  <c r="E114" i="2"/>
  <c r="D115" i="2"/>
  <c r="F115" i="2"/>
  <c r="G115" i="2"/>
  <c r="E121" i="2"/>
  <c r="E122" i="2"/>
  <c r="C123" i="2"/>
  <c r="E124" i="2"/>
  <c r="C125" i="2"/>
  <c r="E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F452" i="1"/>
  <c r="G452" i="1"/>
  <c r="H452" i="1"/>
  <c r="I452" i="1"/>
  <c r="F460" i="1"/>
  <c r="G460" i="1"/>
  <c r="H460" i="1"/>
  <c r="I460" i="1"/>
  <c r="F461" i="1"/>
  <c r="G461" i="1"/>
  <c r="H461" i="1"/>
  <c r="H641" i="1" s="1"/>
  <c r="I461" i="1"/>
  <c r="H642" i="1" s="1"/>
  <c r="F470" i="1"/>
  <c r="F476" i="1" s="1"/>
  <c r="H622" i="1" s="1"/>
  <c r="G470" i="1"/>
  <c r="H470" i="1"/>
  <c r="H476" i="1" s="1"/>
  <c r="H624" i="1" s="1"/>
  <c r="I470" i="1"/>
  <c r="I476" i="1" s="1"/>
  <c r="H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H571" i="1" s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H640" i="1"/>
  <c r="G643" i="1"/>
  <c r="H643" i="1"/>
  <c r="G644" i="1"/>
  <c r="H644" i="1"/>
  <c r="J644" i="1" s="1"/>
  <c r="G645" i="1"/>
  <c r="H645" i="1"/>
  <c r="G649" i="1"/>
  <c r="J649" i="1" s="1"/>
  <c r="G650" i="1"/>
  <c r="G652" i="1"/>
  <c r="H652" i="1"/>
  <c r="G653" i="1"/>
  <c r="H653" i="1"/>
  <c r="G654" i="1"/>
  <c r="H654" i="1"/>
  <c r="H655" i="1"/>
  <c r="F192" i="1"/>
  <c r="C18" i="2"/>
  <c r="C26" i="10"/>
  <c r="L351" i="1"/>
  <c r="A31" i="12"/>
  <c r="D18" i="13"/>
  <c r="C18" i="13" s="1"/>
  <c r="D17" i="13"/>
  <c r="C17" i="13" s="1"/>
  <c r="F78" i="2"/>
  <c r="F81" i="2" s="1"/>
  <c r="G157" i="2"/>
  <c r="G161" i="2"/>
  <c r="G156" i="2"/>
  <c r="G62" i="2"/>
  <c r="D19" i="13"/>
  <c r="C19" i="13" s="1"/>
  <c r="D14" i="13"/>
  <c r="C14" i="13" s="1"/>
  <c r="E78" i="2"/>
  <c r="E81" i="2" s="1"/>
  <c r="L427" i="1"/>
  <c r="H112" i="1"/>
  <c r="K605" i="1"/>
  <c r="G648" i="1" s="1"/>
  <c r="J571" i="1"/>
  <c r="K571" i="1"/>
  <c r="L433" i="1"/>
  <c r="L419" i="1"/>
  <c r="I169" i="1"/>
  <c r="H169" i="1"/>
  <c r="J643" i="1"/>
  <c r="F169" i="1"/>
  <c r="J140" i="1"/>
  <c r="I552" i="1"/>
  <c r="K550" i="1"/>
  <c r="G22" i="2"/>
  <c r="J552" i="1"/>
  <c r="H140" i="1"/>
  <c r="L401" i="1"/>
  <c r="C139" i="2" s="1"/>
  <c r="L393" i="1"/>
  <c r="C138" i="2" s="1"/>
  <c r="J640" i="1"/>
  <c r="L560" i="1"/>
  <c r="G192" i="1"/>
  <c r="L309" i="1"/>
  <c r="J655" i="1"/>
  <c r="J645" i="1"/>
  <c r="L570" i="1"/>
  <c r="G36" i="2"/>
  <c r="L211" i="1" l="1"/>
  <c r="J641" i="1"/>
  <c r="J639" i="1"/>
  <c r="K503" i="1"/>
  <c r="G164" i="2"/>
  <c r="K500" i="1"/>
  <c r="I446" i="1"/>
  <c r="G642" i="1" s="1"/>
  <c r="J642" i="1" s="1"/>
  <c r="C70" i="2"/>
  <c r="K545" i="1"/>
  <c r="J545" i="1"/>
  <c r="C15" i="10"/>
  <c r="I257" i="1"/>
  <c r="I271" i="1" s="1"/>
  <c r="C29" i="10"/>
  <c r="F22" i="13"/>
  <c r="C22" i="13" s="1"/>
  <c r="E62" i="2"/>
  <c r="E63" i="2" s="1"/>
  <c r="E31" i="2"/>
  <c r="H52" i="1"/>
  <c r="H619" i="1" s="1"/>
  <c r="G476" i="1"/>
  <c r="H623" i="1" s="1"/>
  <c r="G257" i="1"/>
  <c r="G271" i="1" s="1"/>
  <c r="C121" i="2"/>
  <c r="D62" i="2"/>
  <c r="D63" i="2" s="1"/>
  <c r="J623" i="1"/>
  <c r="D31" i="2"/>
  <c r="H552" i="1"/>
  <c r="L534" i="1"/>
  <c r="C118" i="2"/>
  <c r="A13" i="12"/>
  <c r="G661" i="1"/>
  <c r="H661" i="1"/>
  <c r="K338" i="1"/>
  <c r="K352" i="1" s="1"/>
  <c r="H25" i="13"/>
  <c r="C25" i="13" s="1"/>
  <c r="K257" i="1"/>
  <c r="K271" i="1" s="1"/>
  <c r="E8" i="13"/>
  <c r="C8" i="13" s="1"/>
  <c r="K551" i="1"/>
  <c r="G552" i="1"/>
  <c r="L382" i="1"/>
  <c r="G636" i="1" s="1"/>
  <c r="J636" i="1" s="1"/>
  <c r="F661" i="1"/>
  <c r="J338" i="1"/>
  <c r="J352" i="1" s="1"/>
  <c r="H662" i="1"/>
  <c r="J257" i="1"/>
  <c r="J271" i="1" s="1"/>
  <c r="C13" i="10"/>
  <c r="J634" i="1"/>
  <c r="D15" i="13"/>
  <c r="C15" i="13" s="1"/>
  <c r="G625" i="1"/>
  <c r="J625" i="1" s="1"/>
  <c r="K598" i="1"/>
  <c r="G647" i="1" s="1"/>
  <c r="J647" i="1" s="1"/>
  <c r="H545" i="1"/>
  <c r="L544" i="1"/>
  <c r="K549" i="1"/>
  <c r="L529" i="1"/>
  <c r="D29" i="13"/>
  <c r="C29" i="13" s="1"/>
  <c r="C16" i="10"/>
  <c r="H257" i="1"/>
  <c r="H271" i="1" s="1"/>
  <c r="C12" i="10"/>
  <c r="J624" i="1"/>
  <c r="L614" i="1"/>
  <c r="G545" i="1"/>
  <c r="D145" i="2"/>
  <c r="G338" i="1"/>
  <c r="G352" i="1" s="1"/>
  <c r="E128" i="2"/>
  <c r="C119" i="2"/>
  <c r="D18" i="2"/>
  <c r="L565" i="1"/>
  <c r="L571" i="1" s="1"/>
  <c r="F552" i="1"/>
  <c r="L524" i="1"/>
  <c r="E115" i="2"/>
  <c r="F338" i="1"/>
  <c r="F352" i="1" s="1"/>
  <c r="L328" i="1"/>
  <c r="L290" i="1"/>
  <c r="F660" i="1" s="1"/>
  <c r="C124" i="2"/>
  <c r="C21" i="10"/>
  <c r="G651" i="1"/>
  <c r="J651" i="1" s="1"/>
  <c r="C20" i="10"/>
  <c r="C19" i="10"/>
  <c r="C18" i="10"/>
  <c r="C17" i="10"/>
  <c r="D7" i="13"/>
  <c r="C7" i="13" s="1"/>
  <c r="C11" i="10"/>
  <c r="D5" i="13"/>
  <c r="C5" i="13" s="1"/>
  <c r="F257" i="1"/>
  <c r="F271" i="1" s="1"/>
  <c r="L247" i="1"/>
  <c r="C10" i="10"/>
  <c r="C109" i="2"/>
  <c r="C115" i="2" s="1"/>
  <c r="F662" i="1"/>
  <c r="E13" i="13"/>
  <c r="C13" i="13" s="1"/>
  <c r="D12" i="13"/>
  <c r="C12" i="13" s="1"/>
  <c r="C78" i="2"/>
  <c r="C62" i="2"/>
  <c r="C63" i="2" s="1"/>
  <c r="C35" i="10"/>
  <c r="F112" i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G571" i="1"/>
  <c r="I434" i="1"/>
  <c r="G434" i="1"/>
  <c r="I663" i="1"/>
  <c r="C27" i="10"/>
  <c r="G635" i="1"/>
  <c r="J635" i="1" s="1"/>
  <c r="F193" i="1" l="1"/>
  <c r="G627" i="1" s="1"/>
  <c r="J627" i="1" s="1"/>
  <c r="C81" i="2"/>
  <c r="C104" i="2" s="1"/>
  <c r="H33" i="13"/>
  <c r="H648" i="1"/>
  <c r="J648" i="1" s="1"/>
  <c r="G664" i="1"/>
  <c r="G672" i="1" s="1"/>
  <c r="C5" i="10" s="1"/>
  <c r="I661" i="1"/>
  <c r="C36" i="10"/>
  <c r="K552" i="1"/>
  <c r="I662" i="1"/>
  <c r="L545" i="1"/>
  <c r="C128" i="2"/>
  <c r="C145" i="2" s="1"/>
  <c r="E145" i="2"/>
  <c r="F664" i="1"/>
  <c r="F667" i="1" s="1"/>
  <c r="D31" i="13"/>
  <c r="C31" i="13" s="1"/>
  <c r="L338" i="1"/>
  <c r="L352" i="1" s="1"/>
  <c r="G633" i="1" s="1"/>
  <c r="J633" i="1" s="1"/>
  <c r="G667" i="1"/>
  <c r="H660" i="1"/>
  <c r="H664" i="1" s="1"/>
  <c r="H667" i="1" s="1"/>
  <c r="L257" i="1"/>
  <c r="L271" i="1" s="1"/>
  <c r="G632" i="1" s="1"/>
  <c r="J632" i="1" s="1"/>
  <c r="C28" i="10"/>
  <c r="D23" i="10" s="1"/>
  <c r="E33" i="13"/>
  <c r="D35" i="13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F672" i="1" l="1"/>
  <c r="C4" i="10" s="1"/>
  <c r="D33" i="13"/>
  <c r="D36" i="13" s="1"/>
  <c r="I660" i="1"/>
  <c r="I664" i="1" s="1"/>
  <c r="I672" i="1" s="1"/>
  <c r="C7" i="10" s="1"/>
  <c r="H672" i="1"/>
  <c r="C6" i="10" s="1"/>
  <c r="D20" i="10"/>
  <c r="D27" i="10"/>
  <c r="D13" i="10"/>
  <c r="D10" i="10"/>
  <c r="D18" i="10"/>
  <c r="D26" i="10"/>
  <c r="D15" i="10"/>
  <c r="D11" i="10"/>
  <c r="D17" i="10"/>
  <c r="C30" i="10"/>
  <c r="D25" i="10"/>
  <c r="D19" i="10"/>
  <c r="D21" i="10"/>
  <c r="D12" i="10"/>
  <c r="D16" i="10"/>
  <c r="D22" i="10"/>
  <c r="D24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<sst xmlns="http://schemas.openxmlformats.org/spreadsheetml/2006/main" count="3960" uniqueCount="918">
  <si>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</si>
  <si>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</si>
  <si>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</si>
  <si>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</si>
  <si>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</si>
  <si>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</si>
  <si>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</si>
  <si>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</si>
  <si>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</si>
  <si>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</si>
  <si>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</si>
  <si>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</si>
  <si>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</si>
  <si>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</si>
  <si>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</si>
  <si>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</si>
  <si>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</si>
  <si>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</si>
  <si>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</si>
  <si>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</si>
  <si>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</si>
  <si>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</si>
  <si>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</si>
  <si>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</si>
  <si>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</si>
  <si>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</si>
  <si>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</si>
  <si>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</si>
  <si>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</si>
  <si>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</si>
  <si>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</si>
  <si>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</si>
  <si>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</si>
  <si>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</si>
  <si>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</si>
  <si>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</si>
  <si>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</si>
  <si>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</si>
  <si>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</si>
  <si>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</si>
  <si>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</si>
  <si>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</si>
  <si>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</si>
  <si>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</si>
  <si>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</si>
  <si>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</si>
  <si>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</si>
  <si>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</si>
  <si>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</si>
  <si>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</si>
  <si>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</si>
  <si>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</si>
  <si>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</si>
  <si>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</si>
  <si>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</si>
  <si>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</si>
  <si>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</si>
  <si>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</si>
  <si>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</si>
  <si>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</si>
  <si>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</si>
  <si>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</si>
  <si>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</si>
  <si>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</si>
  <si>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</si>
  <si>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</si>
  <si>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</si>
  <si>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</si>
  <si>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</si>
  <si>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</si>
  <si>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</si>
  <si>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</si>
  <si>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</si>
  <si>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</si>
  <si>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</si>
  <si>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</si>
  <si>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</si>
  <si>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</si>
  <si>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</si>
  <si>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</si>
  <si>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</si>
  <si>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</si>
  <si>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</si>
  <si>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</si>
  <si>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</si>
  <si>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</si>
  <si>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</si>
  <si>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</si>
  <si>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</si>
  <si>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</si>
  <si>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</si>
  <si>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</si>
  <si>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</si>
  <si>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</si>
  <si>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</si>
  <si>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</si>
  <si>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</si>
  <si>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</si>
  <si>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</si>
  <si>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</si>
  <si>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</si>
  <si>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</si>
  <si>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</si>
  <si>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</si>
  <si>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</si>
  <si>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</si>
  <si>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</si>
  <si>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</si>
  <si>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</si>
  <si>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</si>
  <si>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</si>
  <si>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</si>
  <si>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</si>
  <si>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</si>
  <si>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</si>
  <si>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</si>
  <si>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</si>
  <si>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</si>
  <si>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</si>
  <si>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</si>
  <si>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</si>
  <si>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</si>
  <si>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</si>
  <si>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</si>
  <si>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</si>
  <si>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</si>
  <si>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</si>
  <si>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</si>
  <si>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</si>
  <si>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</si>
  <si>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</si>
  <si>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</si>
  <si>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</si>
  <si>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</si>
  <si>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</si>
  <si>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</si>
  <si>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</si>
  <si>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</si>
  <si>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</si>
  <si>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</si>
  <si>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</si>
  <si>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</si>
  <si>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</si>
  <si>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</si>
  <si>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</si>
  <si>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</si>
  <si>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</si>
  <si>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</si>
  <si>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</si>
  <si>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</si>
  <si>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</si>
  <si>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</si>
  <si>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</si>
  <si>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</si>
  <si>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</si>
  <si>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</si>
  <si>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</si>
  <si>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</si>
  <si>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</si>
  <si>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</si>
  <si>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</si>
  <si>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</si>
  <si>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</si>
  <si>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</si>
  <si>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</si>
  <si>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</si>
  <si>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</si>
  <si>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</si>
  <si>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</si>
  <si>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</si>
  <si>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</si>
  <si>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</si>
  <si>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</si>
  <si>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</si>
  <si>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</si>
  <si>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</si>
  <si>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</si>
  <si>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</si>
  <si>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</si>
  <si>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</si>
  <si>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</si>
  <si>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</si>
  <si>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</si>
  <si>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</si>
  <si>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</si>
  <si>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</si>
  <si>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</si>
  <si>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</si>
  <si>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</si>
  <si>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</si>
  <si>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</si>
  <si>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</si>
  <si>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</si>
  <si>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</si>
  <si>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</si>
  <si>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</si>
  <si>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</si>
  <si>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</si>
  <si>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</si>
  <si>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</si>
  <si>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</si>
  <si>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</si>
  <si>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</si>
  <si>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</si>
  <si>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</si>
  <si>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</si>
  <si>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</si>
  <si>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</si>
  <si>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</si>
  <si>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</si>
  <si>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</si>
  <si>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</si>
  <si>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</si>
  <si>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</si>
  <si>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</si>
  <si>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</si>
  <si>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</si>
  <si>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</si>
  <si>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</si>
  <si>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</si>
  <si>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</si>
  <si>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</si>
  <si>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</si>
  <si>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</si>
  <si>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</si>
  <si>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</si>
  <si>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</si>
  <si>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</si>
  <si>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</si>
  <si>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</si>
  <si>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</si>
  <si>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</si>
  <si>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</si>
  <si>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</si>
  <si>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</si>
  <si>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</si>
  <si>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</si>
  <si>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</si>
  <si>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</si>
  <si>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</si>
  <si>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</si>
  <si>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</si>
  <si>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</si>
  <si>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</si>
  <si>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</si>
  <si>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</si>
  <si>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</si>
  <si>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</si>
  <si>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</si>
  <si>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</si>
  <si>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</si>
  <si>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</si>
  <si>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</si>
  <si>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</si>
  <si>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</si>
  <si>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</si>
  <si>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</si>
  <si>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</si>
  <si>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</si>
  <si>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</si>
  <si>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</si>
  <si>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</si>
  <si>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</si>
  <si>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</si>
  <si>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</si>
  <si>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</si>
  <si>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</si>
  <si>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</si>
  <si>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</si>
  <si>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</si>
  <si>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</si>
  <si>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</si>
  <si>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</si>
  <si>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</si>
  <si>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</si>
  <si>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</si>
  <si>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</si>
  <si>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</si>
  <si>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</si>
  <si>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</si>
  <si>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</si>
  <si>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</si>
  <si>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</si>
  <si>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</si>
  <si>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</si>
  <si>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</si>
  <si>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</si>
  <si>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</si>
  <si>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</si>
  <si>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</si>
  <si>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</si>
  <si>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</si>
  <si>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</si>
  <si>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</si>
  <si>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</si>
  <si>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</si>
  <si>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</si>
  <si>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</si>
  <si>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</si>
  <si>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</si>
  <si>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</si>
  <si>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</si>
  <si>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</si>
  <si>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</si>
  <si>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</si>
  <si>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</si>
  <si>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</si>
  <si>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</si>
  <si>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</si>
  <si>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</si>
  <si>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</si>
  <si>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</si>
  <si>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</si>
  <si>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</si>
  <si>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</si>
  <si>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</si>
  <si>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</si>
  <si>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</si>
  <si>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</si>
  <si>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</si>
  <si>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</si>
  <si>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</si>
  <si>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</si>
  <si>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</si>
  <si>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</si>
  <si>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</si>
  <si>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</si>
  <si>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</si>
  <si>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</si>
  <si>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</si>
  <si>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</si>
  <si>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</si>
  <si>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</si>
  <si>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</si>
  <si>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</si>
  <si>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</si>
  <si>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</si>
  <si>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</si>
  <si>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</si>
  <si>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</si>
  <si>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</si>
  <si>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</si>
  <si>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</si>
  <si>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</si>
  <si>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</si>
  <si>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</si>
  <si>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</si>
  <si>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</si>
  <si>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</si>
  <si>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</si>
  <si>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</si>
  <si>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</si>
  <si>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</si>
  <si>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</si>
  <si>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</si>
  <si>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</si>
  <si>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</si>
  <si>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</si>
  <si>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</si>
  <si>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</si>
  <si>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</si>
  <si>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</si>
  <si>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</si>
  <si>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</si>
  <si>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</si>
  <si>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</si>
  <si>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</si>
  <si>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</si>
  <si>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</si>
  <si>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</si>
  <si>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</si>
  <si>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</si>
  <si>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</si>
  <si>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</si>
  <si>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</si>
  <si>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</si>
  <si>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</si>
  <si>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</si>
  <si>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</si>
  <si>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</si>
  <si>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</si>
  <si>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</si>
  <si>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</si>
  <si>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</si>
  <si>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</si>
  <si>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</si>
  <si>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</si>
  <si>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</si>
  <si>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</si>
  <si>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</si>
  <si>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</si>
  <si>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</si>
  <si>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</si>
  <si>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</si>
  <si>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</si>
  <si>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</si>
  <si>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</si>
  <si>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</si>
  <si>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</si>
  <si>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</si>
  <si>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</si>
  <si>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</si>
  <si>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</si>
  <si>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</si>
  <si>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</si>
  <si>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</si>
  <si>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</si>
  <si>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</si>
  <si>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</si>
  <si>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</si>
  <si>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</si>
  <si>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</si>
  <si>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</si>
  <si>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</si>
  <si>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</si>
  <si>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</si>
  <si>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</si>
  <si>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</si>
  <si>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</si>
  <si>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</si>
  <si>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</si>
  <si>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</si>
  <si>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</si>
  <si>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</si>
  <si>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</si>
  <si>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</si>
  <si>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</si>
  <si>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</si>
  <si>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</si>
  <si>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</si>
  <si>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</si>
  <si>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</si>
  <si>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</si>
  <si>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</si>
  <si>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</si>
  <si>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</si>
  <si>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</si>
  <si>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</si>
  <si>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</si>
  <si>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</si>
  <si>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</si>
  <si>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</si>
  <si>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</si>
  <si>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</si>
  <si>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</si>
  <si>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</si>
  <si>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</si>
  <si>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</si>
  <si>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</si>
  <si>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</si>
  <si>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</si>
  <si>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</si>
  <si>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</si>
  <si>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</si>
  <si>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</si>
  <si>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</si>
  <si>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</si>
  <si>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</si>
  <si>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</si>
  <si>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</si>
  <si>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</si>
  <si>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</si>
  <si>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</si>
  <si>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</si>
  <si>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</si>
  <si>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</si>
  <si>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</si>
  <si>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</si>
  <si>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</si>
  <si>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</si>
  <si>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</si>
  <si>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</si>
  <si>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</si>
  <si>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</si>
  <si>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</si>
  <si>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</si>
  <si>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</si>
  <si>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</si>
  <si>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</si>
  <si>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</si>
  <si>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</si>
  <si>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</si>
  <si>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</si>
  <si>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</si>
  <si>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</si>
  <si>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</si>
  <si>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</si>
  <si>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</si>
  <si>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</si>
  <si>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</si>
  <si>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</si>
  <si>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</si>
  <si>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</si>
  <si>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</si>
  <si>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</si>
  <si>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</si>
  <si>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</si>
  <si>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</si>
  <si>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</si>
  <si>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</si>
  <si>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</si>
  <si>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</si>
  <si>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</si>
  <si>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</si>
  <si>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</si>
  <si>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</si>
  <si>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</si>
  <si>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</si>
  <si>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</si>
  <si>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</si>
  <si>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</si>
  <si>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</si>
  <si>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</si>
  <si>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</si>
  <si>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</si>
  <si>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</si>
  <si>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</si>
  <si>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</si>
  <si>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</si>
  <si>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</si>
  <si>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</si>
  <si>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</si>
  <si>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</si>
  <si>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</si>
  <si>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</si>
  <si>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</si>
  <si>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</si>
  <si>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</si>
  <si>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</si>
  <si>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</si>
  <si>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</si>
  <si>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</si>
  <si>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</si>
  <si>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</si>
  <si>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</si>
  <si>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</si>
  <si>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</si>
  <si>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</si>
  <si>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</si>
  <si>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</si>
  <si>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</si>
  <si>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</si>
  <si>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</si>
  <si>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</si>
  <si>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</si>
  <si>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</si>
  <si>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</si>
  <si>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</si>
  <si>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</si>
  <si>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</si>
  <si>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</si>
  <si>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</si>
  <si>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</si>
  <si>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</si>
  <si>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</si>
  <si>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</si>
  <si>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</si>
  <si>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</si>
  <si>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</si>
  <si>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</si>
  <si>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</si>
  <si>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</si>
  <si>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</si>
  <si>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</si>
  <si>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</si>
  <si>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</si>
  <si>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</si>
  <si>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</si>
  <si>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</si>
  <si>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</si>
  <si>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</si>
  <si>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</si>
  <si>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</si>
  <si>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</si>
  <si>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</si>
  <si>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</si>
  <si>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</si>
  <si>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</si>
  <si>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</si>
  <si>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</si>
  <si>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</si>
  <si>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</si>
  <si>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</si>
  <si>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</si>
  <si>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</si>
  <si>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</si>
  <si>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</si>
  <si>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</si>
  <si>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</si>
  <si>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</si>
  <si>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</si>
  <si>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</si>
  <si>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</si>
  <si>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</si>
  <si>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</si>
  <si>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</si>
  <si>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</si>
  <si>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</si>
  <si>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</si>
  <si>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</si>
  <si>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</si>
  <si>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</si>
  <si>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</si>
  <si>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</si>
  <si>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</si>
  <si>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</si>
  <si>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</si>
  <si>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</si>
  <si>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</si>
  <si>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</si>
  <si>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</si>
  <si>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</si>
  <si>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</si>
  <si>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</si>
  <si>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</si>
  <si>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</si>
  <si>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</si>
  <si>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</si>
  <si>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</si>
  <si>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</si>
  <si>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</si>
  <si>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</si>
  <si>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</si>
  <si>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</si>
  <si>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</si>
  <si>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</si>
  <si>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</si>
  <si>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</si>
  <si>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</si>
  <si>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</si>
  <si>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</si>
  <si>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</si>
  <si>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</si>
  <si>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</si>
  <si>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</si>
  <si>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</si>
  <si>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</si>
  <si>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</si>
  <si>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</si>
  <si>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</si>
  <si>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</si>
  <si>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</si>
  <si>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</si>
  <si>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</si>
  <si>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</si>
  <si>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</si>
  <si>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</si>
  <si>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</si>
  <si>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</si>
  <si>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</si>
  <si>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</si>
  <si>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</si>
  <si>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</si>
  <si>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</si>
  <si>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</si>
  <si>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</si>
  <si>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</si>
  <si>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</si>
  <si>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</si>
  <si>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</si>
  <si>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</si>
  <si>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</si>
  <si>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</si>
  <si>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</si>
  <si>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</si>
  <si>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</si>
  <si>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</si>
  <si>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</si>
  <si>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</si>
  <si>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</si>
  <si>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</si>
  <si>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</si>
  <si>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</si>
  <si>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</si>
  <si>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</si>
  <si>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</si>
  <si>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</si>
  <si>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</si>
  <si>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</si>
  <si>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</si>
  <si>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</si>
  <si>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</si>
  <si>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</si>
  <si>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</si>
  <si>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</si>
  <si>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</si>
  <si>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</si>
  <si>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</si>
  <si>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</si>
  <si>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</si>
  <si>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</si>
  <si>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</si>
  <si>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</si>
  <si>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</si>
  <si>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</si>
  <si>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</si>
  <si>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</si>
  <si>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</si>
  <si>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</si>
  <si>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</si>
  <si>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</si>
  <si>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</si>
  <si>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</si>
  <si>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</si>
  <si>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</si>
  <si>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</si>
  <si>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</si>
  <si>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</si>
  <si>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</si>
  <si>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</si>
  <si>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</si>
  <si>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</si>
  <si>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</si>
  <si>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</si>
  <si>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</si>
  <si>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</si>
  <si>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</si>
  <si>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</si>
  <si>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</si>
  <si>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</si>
  <si>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</si>
  <si>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</si>
  <si>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</si>
  <si>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</si>
  <si>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</si>
  <si>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</si>
  <si>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</si>
  <si>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</si>
  <si>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</si>
  <si>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</si>
  <si>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</si>
  <si>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</si>
  <si>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</si>
  <si>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</si>
  <si>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</si>
  <si>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</si>
  <si>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</si>
  <si>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</si>
  <si>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</si>
  <si>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</si>
  <si>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</si>
  <si>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</si>
  <si>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</si>
  <si>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</si>
  <si>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</si>
  <si>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</si>
  <si>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</si>
  <si>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</si>
  <si>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</si>
  <si>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</si>
  <si>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</si>
  <si>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</si>
  <si>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</si>
  <si>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</si>
  <si>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</si>
  <si>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</si>
  <si>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</si>
  <si>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</si>
  <si>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</si>
  <si>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</si>
  <si>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</si>
  <si>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</si>
  <si>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</si>
  <si>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</si>
  <si>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</si>
  <si>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</si>
  <si>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</si>
  <si>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</si>
  <si>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</si>
  <si>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</si>
  <si>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</si>
  <si>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</si>
  <si>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</si>
  <si>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</si>
  <si>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</si>
  <si>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</si>
  <si>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</si>
  <si>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</si>
  <si>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</si>
  <si>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</si>
  <si>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</si>
  <si>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</si>
  <si>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</si>
  <si>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</si>
  <si>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</si>
  <si>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</si>
  <si>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</si>
  <si>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</si>
  <si>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</si>
  <si>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</si>
  <si>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</si>
  <si>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</si>
  <si>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</si>
  <si>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</si>
  <si>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</si>
  <si>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</si>
  <si>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</si>
  <si>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</si>
  <si>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</si>
  <si>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</si>
  <si>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</si>
  <si>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</si>
  <si>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</si>
  <si>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</si>
  <si>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</si>
  <si>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</si>
  <si>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</si>
  <si>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</si>
  <si>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</si>
  <si>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</si>
  <si>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</si>
  <si>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</si>
  <si>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</si>
  <si>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</si>
  <si>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</si>
  <si>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</si>
  <si>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</si>
  <si>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</si>
  <si>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</si>
  <si>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</si>
  <si>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</si>
  <si>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</si>
  <si>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</si>
  <si>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</si>
  <si>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</si>
  <si>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</si>
  <si>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</si>
  <si>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</si>
  <si>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</si>
  <si>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</si>
  <si>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</si>
  <si>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</si>
  <si>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</si>
  <si>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</si>
  <si>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</si>
  <si>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</si>
  <si>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</si>
  <si>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</si>
  <si>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</si>
  <si>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</si>
  <si>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</si>
  <si>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</si>
  <si>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</si>
  <si>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</si>
  <si>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</si>
  <si>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</si>
  <si>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</si>
  <si>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</si>
  <si>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</si>
  <si>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</si>
  <si>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</si>
  <si>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</si>
  <si>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</si>
  <si>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</si>
  <si>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</si>
  <si>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</si>
  <si>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</si>
  <si>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</si>
  <si>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</si>
  <si>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</si>
  <si>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</si>
  <si>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</si>
  <si>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</si>
  <si>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</si>
  <si>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</si>
  <si>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</si>
  <si>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</si>
  <si>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</si>
  <si>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</si>
  <si>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</si>
  <si>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</si>
  <si>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</si>
  <si>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</si>
  <si>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</si>
  <si>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</si>
  <si>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</si>
  <si>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</si>
  <si>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</si>
  <si>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</si>
  <si>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</si>
  <si>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</si>
  <si>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</si>
  <si>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</si>
  <si>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</si>
  <si>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</si>
  <si>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</si>
  <si>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</si>
  <si>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</si>
  <si>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</si>
  <si>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</si>
  <si>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</si>
  <si>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</si>
  <si>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</si>
  <si>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</si>
  <si>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</si>
  <si>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</si>
  <si>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</si>
  <si>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</si>
  <si>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</si>
  <si>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</si>
  <si>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</si>
  <si>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</si>
  <si>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</si>
  <si>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</si>
  <si>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</si>
  <si>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</si>
  <si>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</si>
  <si>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</si>
  <si>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</si>
  <si>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</si>
  <si>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</si>
  <si>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06/05</t>
  </si>
  <si>
    <t>07/2008</t>
  </si>
  <si>
    <t>08/2018</t>
  </si>
  <si>
    <t>07/25</t>
  </si>
  <si>
    <t>Refinanced this bond during FY2015</t>
  </si>
  <si>
    <t>Windham</t>
  </si>
  <si>
    <t>Other revenue includes other local revenue, LGC Refund, and Impact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</si>
</sst>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activeCell="B2" sqref="B2"/>
      <selection pane="topRight" activeCell="B2" sqref="B2"/>
      <selection pane="bottomLeft" activeCell="B2" sqref="B2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575</v>
      </c>
      <c r="C2" s="21">
        <v>575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3611825.71</v>
      </c>
      <c r="G9" s="18"/>
      <c r="H9" s="18"/>
      <c r="I9" s="18"/>
      <c r="J9" s="67">
        <f>SUM(I439)</f>
        <v>89617.919999999998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223706.83</v>
      </c>
      <c r="H12" s="18">
        <v>50635.62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30791.53</v>
      </c>
      <c r="G13" s="18">
        <v>8577.01</v>
      </c>
      <c r="H13" s="18">
        <v>127328.28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12504.06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28598.5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>
        <v>2348</v>
      </c>
      <c r="H17" s="18">
        <v>665.4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3655121.3</v>
      </c>
      <c r="G19" s="41">
        <f>SUM(G9:G18)</f>
        <v>263230.33999999997</v>
      </c>
      <c r="H19" s="41">
        <f>SUM(H9:H18)</f>
        <v>178629.3</v>
      </c>
      <c r="I19" s="41">
        <f>SUM(I9:I18)</f>
        <v>0</v>
      </c>
      <c r="J19" s="41">
        <f>SUM(J9:J18)</f>
        <v>89617.919999999998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274342.44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21115.599999999999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31656.67</v>
      </c>
      <c r="G24" s="18">
        <v>42.4</v>
      </c>
      <c r="H24" s="18">
        <v>12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2800</v>
      </c>
      <c r="G30" s="18">
        <v>31329.93</v>
      </c>
      <c r="H30" s="18">
        <v>65573.279999999999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329914.70999999996</v>
      </c>
      <c r="G32" s="41">
        <f>SUM(G22:G31)</f>
        <v>31372.33</v>
      </c>
      <c r="H32" s="41">
        <f>SUM(H22:H31)</f>
        <v>65585.279999999999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28598.5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203259.51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508296.74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113044.02</v>
      </c>
      <c r="I48" s="18">
        <v>0</v>
      </c>
      <c r="J48" s="13">
        <f>SUM(I459)</f>
        <v>89617.919999999998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2816909.85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3325206.59</v>
      </c>
      <c r="G51" s="41">
        <f>SUM(G35:G50)</f>
        <v>231858.01</v>
      </c>
      <c r="H51" s="41">
        <f>SUM(H35:H50)</f>
        <v>113044.02</v>
      </c>
      <c r="I51" s="41">
        <f>SUM(I35:I50)</f>
        <v>0</v>
      </c>
      <c r="J51" s="41">
        <f>SUM(J35:J50)</f>
        <v>89617.919999999998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3655121.3</v>
      </c>
      <c r="G52" s="41">
        <f>G51+G32</f>
        <v>263230.34000000003</v>
      </c>
      <c r="H52" s="41">
        <f>H51+H32</f>
        <v>178629.3</v>
      </c>
      <c r="I52" s="41">
        <f>I51+I32</f>
        <v>0</v>
      </c>
      <c r="J52" s="41">
        <f>J51+J32</f>
        <v>89617.919999999998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39803181-5066196</f>
        <v>34736985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34736985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22500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3255.63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>
        <v>72612.679999999993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22500</v>
      </c>
      <c r="G79" s="45" t="s">
        <v>289</v>
      </c>
      <c r="H79" s="41">
        <f>SUM(H63:H78)</f>
        <v>75868.31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8.9700000000000006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763763.42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15000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79267.570000000007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3005.69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694375.62</v>
      </c>
      <c r="G110" s="18">
        <v>8572.6200000000008</v>
      </c>
      <c r="H110" s="18">
        <v>33970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712381.30999999994</v>
      </c>
      <c r="G111" s="41">
        <f>SUM(G96:G110)</f>
        <v>772336.04</v>
      </c>
      <c r="H111" s="41">
        <f>SUM(H96:H110)</f>
        <v>113237.57</v>
      </c>
      <c r="I111" s="41">
        <f>SUM(I96:I110)</f>
        <v>0</v>
      </c>
      <c r="J111" s="41">
        <f>SUM(J96:J110)</f>
        <v>8.9700000000000006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35471866.310000002</v>
      </c>
      <c r="G112" s="41">
        <f>G60+G111</f>
        <v>772336.04</v>
      </c>
      <c r="H112" s="41">
        <f>H60+H79+H94+H111</f>
        <v>189105.88</v>
      </c>
      <c r="I112" s="41">
        <f>I60+I111</f>
        <v>0</v>
      </c>
      <c r="J112" s="41">
        <f>J60+J111</f>
        <v>8.9700000000000006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2791877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5066196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7858073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949486.4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330638.02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6557.6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10736.42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1712.6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1288394.6200000001</v>
      </c>
      <c r="G136" s="41">
        <f>SUM(G123:G135)</f>
        <v>10736.42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9146467.620000001</v>
      </c>
      <c r="G140" s="41">
        <f>G121+SUM(G136:G137)</f>
        <v>10736.42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43978.25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56902.37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164139.22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501685.69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239374.91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239374.91</v>
      </c>
      <c r="G162" s="41">
        <f>SUM(G150:G161)</f>
        <v>164139.22</v>
      </c>
      <c r="H162" s="41">
        <f>SUM(H150:H161)</f>
        <v>602566.31000000006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239374.91</v>
      </c>
      <c r="G169" s="41">
        <f>G147+G162+SUM(G163:G168)</f>
        <v>164139.22</v>
      </c>
      <c r="H169" s="41">
        <f>H147+H162+SUM(H163:H168)</f>
        <v>602566.31000000006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77970.559999999998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77970.559999999998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>
        <v>1870</v>
      </c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1870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0.55000000000000004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0.55000000000000004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77971.11</v>
      </c>
      <c r="G192" s="41">
        <f>G183+SUM(G188:G191)</f>
        <v>0</v>
      </c>
      <c r="H192" s="41">
        <f>+H183+SUM(H188:H191)</f>
        <v>1870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44935679.950000003</v>
      </c>
      <c r="G193" s="47">
        <f>G112+G140+G169+G192</f>
        <v>947211.68</v>
      </c>
      <c r="H193" s="47">
        <f>H112+H140+H169+H192</f>
        <v>793542.19000000006</v>
      </c>
      <c r="I193" s="47">
        <f>I112+I140+I169+I192</f>
        <v>0</v>
      </c>
      <c r="J193" s="47">
        <f>J112+J140+J192</f>
        <v>8.9700000000000006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7321259.6600000001</v>
      </c>
      <c r="G197" s="18">
        <v>3460771.34</v>
      </c>
      <c r="H197" s="18">
        <v>14502.46</v>
      </c>
      <c r="I197" s="18">
        <v>384965.83</v>
      </c>
      <c r="J197" s="18">
        <v>67034.570000000007</v>
      </c>
      <c r="K197" s="18">
        <v>1000.75</v>
      </c>
      <c r="L197" s="19">
        <f>SUM(F197:K197)</f>
        <v>11249534.610000001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2746559.75</v>
      </c>
      <c r="G198" s="18">
        <v>1253768.1100000001</v>
      </c>
      <c r="H198" s="18">
        <v>948716.84</v>
      </c>
      <c r="I198" s="18">
        <v>35113.980000000003</v>
      </c>
      <c r="J198" s="18">
        <v>22422.92</v>
      </c>
      <c r="K198" s="18">
        <v>20830.060000000001</v>
      </c>
      <c r="L198" s="19">
        <f>SUM(F198:K198)</f>
        <v>5027411.66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176351.77</v>
      </c>
      <c r="G200" s="18">
        <v>96132.54</v>
      </c>
      <c r="H200" s="18">
        <v>10346</v>
      </c>
      <c r="I200" s="18">
        <v>10157.08</v>
      </c>
      <c r="J200" s="18">
        <v>0</v>
      </c>
      <c r="K200" s="18">
        <v>0</v>
      </c>
      <c r="L200" s="19">
        <f>SUM(F200:K200)</f>
        <v>292987.39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1477856.92</v>
      </c>
      <c r="G202" s="18">
        <v>672927.71</v>
      </c>
      <c r="H202" s="18">
        <v>152139.10999999999</v>
      </c>
      <c r="I202" s="18">
        <v>46061.73</v>
      </c>
      <c r="J202" s="18">
        <v>25062.880000000001</v>
      </c>
      <c r="K202" s="18">
        <v>5626.28</v>
      </c>
      <c r="L202" s="19">
        <f t="shared" ref="L202:L208" si="0">SUM(F202:K202)</f>
        <v>2379674.6299999994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621525.22</v>
      </c>
      <c r="G203" s="18">
        <v>352493.53</v>
      </c>
      <c r="H203" s="18">
        <v>89249.13</v>
      </c>
      <c r="I203" s="18">
        <v>73654.179999999993</v>
      </c>
      <c r="J203" s="18">
        <v>140684.1</v>
      </c>
      <c r="K203" s="18">
        <v>120900.53</v>
      </c>
      <c r="L203" s="19">
        <f t="shared" si="0"/>
        <v>1398506.69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511497.76</v>
      </c>
      <c r="G204" s="18">
        <v>192265.07</v>
      </c>
      <c r="H204" s="18">
        <v>121097.34</v>
      </c>
      <c r="I204" s="18">
        <v>23592.16</v>
      </c>
      <c r="J204" s="18">
        <v>0</v>
      </c>
      <c r="K204" s="18">
        <v>28272.34</v>
      </c>
      <c r="L204" s="19">
        <f t="shared" si="0"/>
        <v>876724.67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759655.39</v>
      </c>
      <c r="G205" s="18">
        <v>384530.15</v>
      </c>
      <c r="H205" s="18">
        <v>35768.639999999999</v>
      </c>
      <c r="I205" s="18">
        <v>25872.99</v>
      </c>
      <c r="J205" s="18">
        <v>16823.439999999999</v>
      </c>
      <c r="K205" s="18">
        <v>12306.25</v>
      </c>
      <c r="L205" s="19">
        <f t="shared" si="0"/>
        <v>1234956.8599999999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242750.68</v>
      </c>
      <c r="G206" s="18">
        <v>96132.54</v>
      </c>
      <c r="H206" s="18">
        <v>55830.23</v>
      </c>
      <c r="I206" s="18">
        <v>4104.76</v>
      </c>
      <c r="J206" s="18">
        <v>0</v>
      </c>
      <c r="K206" s="18">
        <v>0</v>
      </c>
      <c r="L206" s="19">
        <f t="shared" si="0"/>
        <v>398818.20999999996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582805.85</v>
      </c>
      <c r="G207" s="18">
        <v>288397.61</v>
      </c>
      <c r="H207" s="18">
        <v>738622.34</v>
      </c>
      <c r="I207" s="18">
        <v>518087.99</v>
      </c>
      <c r="J207" s="18">
        <v>65309.24</v>
      </c>
      <c r="K207" s="18">
        <v>0</v>
      </c>
      <c r="L207" s="19">
        <f t="shared" si="0"/>
        <v>2193223.0300000003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/>
      <c r="H208" s="18">
        <v>1411974.92</v>
      </c>
      <c r="I208" s="18">
        <v>103868.85</v>
      </c>
      <c r="J208" s="18">
        <v>0</v>
      </c>
      <c r="K208" s="18">
        <v>0</v>
      </c>
      <c r="L208" s="19">
        <f t="shared" si="0"/>
        <v>1515843.77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80950.3</v>
      </c>
      <c r="I209" s="18"/>
      <c r="J209" s="18"/>
      <c r="K209" s="18">
        <v>1898.72</v>
      </c>
      <c r="L209" s="19">
        <f>SUM(F209:K209)</f>
        <v>82849.02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14440263</v>
      </c>
      <c r="G211" s="41">
        <f t="shared" si="1"/>
        <v>6797418.6000000015</v>
      </c>
      <c r="H211" s="41">
        <f t="shared" si="1"/>
        <v>3659197.3099999996</v>
      </c>
      <c r="I211" s="41">
        <f t="shared" si="1"/>
        <v>1225479.5500000003</v>
      </c>
      <c r="J211" s="41">
        <f t="shared" si="1"/>
        <v>337337.15</v>
      </c>
      <c r="K211" s="41">
        <f t="shared" si="1"/>
        <v>190834.93</v>
      </c>
      <c r="L211" s="41">
        <f t="shared" si="1"/>
        <v>26650530.540000007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3290933.31</v>
      </c>
      <c r="G233" s="18">
        <v>1538120.59</v>
      </c>
      <c r="H233" s="18">
        <v>9103.73</v>
      </c>
      <c r="I233" s="18">
        <v>192646.74</v>
      </c>
      <c r="J233" s="18">
        <v>74072.83</v>
      </c>
      <c r="K233" s="18">
        <v>22573.39</v>
      </c>
      <c r="L233" s="19">
        <f>SUM(F233:K233)</f>
        <v>5127450.5900000008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883606.63</v>
      </c>
      <c r="G234" s="18">
        <v>386182.38</v>
      </c>
      <c r="H234" s="18">
        <v>394624.99</v>
      </c>
      <c r="I234" s="18">
        <v>15379.16</v>
      </c>
      <c r="J234" s="18">
        <v>3333.87</v>
      </c>
      <c r="K234" s="18">
        <v>8508.0499999999993</v>
      </c>
      <c r="L234" s="19">
        <f>SUM(F234:K234)</f>
        <v>1691635.08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52945.32</v>
      </c>
      <c r="I235" s="18"/>
      <c r="J235" s="18"/>
      <c r="K235" s="18"/>
      <c r="L235" s="19">
        <f>SUM(F235:K235)</f>
        <v>52945.32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302971.26</v>
      </c>
      <c r="G236" s="18">
        <v>192265.07</v>
      </c>
      <c r="H236" s="18">
        <v>58295</v>
      </c>
      <c r="I236" s="18">
        <v>28104.18</v>
      </c>
      <c r="J236" s="18">
        <v>43385.55</v>
      </c>
      <c r="K236" s="18">
        <v>83561.06</v>
      </c>
      <c r="L236" s="19">
        <f>SUM(F236:K236)</f>
        <v>708582.12000000011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516153.79</v>
      </c>
      <c r="G238" s="18">
        <v>288397.61</v>
      </c>
      <c r="H238" s="18">
        <v>63799.83</v>
      </c>
      <c r="I238" s="18">
        <v>17378.16</v>
      </c>
      <c r="J238" s="18">
        <v>2750.33</v>
      </c>
      <c r="K238" s="18">
        <v>529.91999999999996</v>
      </c>
      <c r="L238" s="19">
        <f t="shared" ref="L238:L244" si="4">SUM(F238:K238)</f>
        <v>889009.6399999999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344924.07</v>
      </c>
      <c r="G239" s="18">
        <v>122312.56</v>
      </c>
      <c r="H239" s="18">
        <v>61748.27</v>
      </c>
      <c r="I239" s="18">
        <v>27388.18</v>
      </c>
      <c r="J239" s="18">
        <v>307137.43</v>
      </c>
      <c r="K239" s="18">
        <v>49381.9</v>
      </c>
      <c r="L239" s="19">
        <f t="shared" si="4"/>
        <v>912892.41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208921.62</v>
      </c>
      <c r="G240" s="18">
        <v>96132.54</v>
      </c>
      <c r="H240" s="18">
        <v>49462.29</v>
      </c>
      <c r="I240" s="18">
        <v>9636.23</v>
      </c>
      <c r="J240" s="18">
        <v>0</v>
      </c>
      <c r="K240" s="18">
        <v>11547.86</v>
      </c>
      <c r="L240" s="19">
        <f t="shared" si="4"/>
        <v>375700.53999999992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281521.24</v>
      </c>
      <c r="G241" s="18">
        <v>96132.54</v>
      </c>
      <c r="H241" s="18">
        <v>19894.55</v>
      </c>
      <c r="I241" s="18">
        <v>6009.21</v>
      </c>
      <c r="J241" s="18">
        <v>47785.35</v>
      </c>
      <c r="K241" s="18">
        <v>20733.18</v>
      </c>
      <c r="L241" s="19">
        <f t="shared" si="4"/>
        <v>472076.06999999995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99151.69</v>
      </c>
      <c r="G242" s="18">
        <v>96132.54</v>
      </c>
      <c r="H242" s="18">
        <v>22803.9</v>
      </c>
      <c r="I242" s="18">
        <v>1676.59</v>
      </c>
      <c r="J242" s="18">
        <v>0</v>
      </c>
      <c r="K242" s="18">
        <v>0</v>
      </c>
      <c r="L242" s="19">
        <f t="shared" si="4"/>
        <v>219764.71999999997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357533.91</v>
      </c>
      <c r="G243" s="18">
        <v>96132.54</v>
      </c>
      <c r="H243" s="18">
        <v>406984.01</v>
      </c>
      <c r="I243" s="18">
        <v>502456.48</v>
      </c>
      <c r="J243" s="18">
        <v>79357.3</v>
      </c>
      <c r="K243" s="18">
        <v>0</v>
      </c>
      <c r="L243" s="19">
        <f t="shared" si="4"/>
        <v>1442464.24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/>
      <c r="H244" s="18">
        <v>819148.94</v>
      </c>
      <c r="I244" s="18">
        <v>42425.31</v>
      </c>
      <c r="J244" s="18">
        <v>0</v>
      </c>
      <c r="K244" s="18">
        <v>0</v>
      </c>
      <c r="L244" s="19">
        <f t="shared" si="4"/>
        <v>861574.25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33064.21</v>
      </c>
      <c r="I245" s="18"/>
      <c r="J245" s="18"/>
      <c r="K245" s="18">
        <v>775.53</v>
      </c>
      <c r="L245" s="19">
        <f>SUM(F245:K245)</f>
        <v>33839.74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6285717.5200000014</v>
      </c>
      <c r="G247" s="41">
        <f t="shared" si="5"/>
        <v>2911808.37</v>
      </c>
      <c r="H247" s="41">
        <f t="shared" si="5"/>
        <v>1991875.04</v>
      </c>
      <c r="I247" s="41">
        <f t="shared" si="5"/>
        <v>843100.24</v>
      </c>
      <c r="J247" s="41">
        <f t="shared" si="5"/>
        <v>557822.66</v>
      </c>
      <c r="K247" s="41">
        <f t="shared" si="5"/>
        <v>197610.88999999998</v>
      </c>
      <c r="L247" s="41">
        <f t="shared" si="5"/>
        <v>12787934.720000003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20725980.520000003</v>
      </c>
      <c r="G257" s="41">
        <f t="shared" si="8"/>
        <v>9709226.9700000025</v>
      </c>
      <c r="H257" s="41">
        <f t="shared" si="8"/>
        <v>5651072.3499999996</v>
      </c>
      <c r="I257" s="41">
        <f t="shared" si="8"/>
        <v>2068579.7900000003</v>
      </c>
      <c r="J257" s="41">
        <f t="shared" si="8"/>
        <v>895159.81</v>
      </c>
      <c r="K257" s="41">
        <f t="shared" si="8"/>
        <v>388445.81999999995</v>
      </c>
      <c r="L257" s="41">
        <f t="shared" si="8"/>
        <v>39438465.260000005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2935000</v>
      </c>
      <c r="L260" s="19">
        <f>SUM(F260:K260)</f>
        <v>2935000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580440.30000000005</v>
      </c>
      <c r="L261" s="19">
        <f>SUM(F261:K261)</f>
        <v>580440.30000000005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1870</v>
      </c>
      <c r="L264" s="19">
        <f t="shared" ref="L264:L270" si="9">SUM(F264:K264)</f>
        <v>1870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3517310.3</v>
      </c>
      <c r="L270" s="41">
        <f t="shared" si="9"/>
        <v>3517310.3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20725980.520000003</v>
      </c>
      <c r="G271" s="42">
        <f t="shared" si="11"/>
        <v>9709226.9700000025</v>
      </c>
      <c r="H271" s="42">
        <f t="shared" si="11"/>
        <v>5651072.3499999996</v>
      </c>
      <c r="I271" s="42">
        <f t="shared" si="11"/>
        <v>2068579.7900000003</v>
      </c>
      <c r="J271" s="42">
        <f t="shared" si="11"/>
        <v>895159.81</v>
      </c>
      <c r="K271" s="42">
        <f t="shared" si="11"/>
        <v>3905756.1199999996</v>
      </c>
      <c r="L271" s="42">
        <f t="shared" si="11"/>
        <v>42955775.560000002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81138.600000000006</v>
      </c>
      <c r="G276" s="18">
        <v>3022.33</v>
      </c>
      <c r="H276" s="18">
        <v>452</v>
      </c>
      <c r="I276" s="18">
        <v>1050.58</v>
      </c>
      <c r="J276" s="18"/>
      <c r="K276" s="18">
        <v>641.69000000000005</v>
      </c>
      <c r="L276" s="19">
        <f>SUM(F276:K276)</f>
        <v>86305.200000000012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271165.84000000003</v>
      </c>
      <c r="G277" s="18">
        <v>123846.19</v>
      </c>
      <c r="H277" s="18">
        <v>14881.05</v>
      </c>
      <c r="I277" s="18">
        <v>5545.55</v>
      </c>
      <c r="J277" s="18">
        <v>4557.99</v>
      </c>
      <c r="K277" s="18"/>
      <c r="L277" s="19">
        <f>SUM(F277:K277)</f>
        <v>419996.62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50126.25</v>
      </c>
      <c r="G279" s="18">
        <v>8997.9599999999991</v>
      </c>
      <c r="H279" s="18"/>
      <c r="I279" s="18">
        <v>3689.04</v>
      </c>
      <c r="J279" s="18"/>
      <c r="K279" s="18"/>
      <c r="L279" s="19">
        <f>SUM(F279:K279)</f>
        <v>62813.25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507.25</v>
      </c>
      <c r="J281" s="18">
        <v>1060.24</v>
      </c>
      <c r="K281" s="18">
        <v>0</v>
      </c>
      <c r="L281" s="19">
        <f t="shared" ref="L281:L287" si="12">SUM(F281:K281)</f>
        <v>1567.49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1065</v>
      </c>
      <c r="G282" s="18">
        <v>155.62</v>
      </c>
      <c r="H282" s="18">
        <v>28033.81</v>
      </c>
      <c r="I282" s="18">
        <v>6514.26</v>
      </c>
      <c r="J282" s="18"/>
      <c r="K282" s="18"/>
      <c r="L282" s="19">
        <f t="shared" si="12"/>
        <v>35768.69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>
        <v>0</v>
      </c>
      <c r="H283" s="18">
        <v>16152.5</v>
      </c>
      <c r="I283" s="18"/>
      <c r="J283" s="18"/>
      <c r="K283" s="18"/>
      <c r="L283" s="19">
        <f t="shared" si="12"/>
        <v>16152.5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>
        <v>0</v>
      </c>
      <c r="H286" s="18"/>
      <c r="I286" s="18">
        <v>0</v>
      </c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403495.69000000006</v>
      </c>
      <c r="G290" s="42">
        <f t="shared" si="13"/>
        <v>136022.1</v>
      </c>
      <c r="H290" s="42">
        <f t="shared" si="13"/>
        <v>59519.360000000001</v>
      </c>
      <c r="I290" s="42">
        <f t="shared" si="13"/>
        <v>17306.68</v>
      </c>
      <c r="J290" s="42">
        <f t="shared" si="13"/>
        <v>5618.23</v>
      </c>
      <c r="K290" s="42">
        <f t="shared" si="13"/>
        <v>641.69000000000005</v>
      </c>
      <c r="L290" s="41">
        <f t="shared" si="13"/>
        <v>622603.75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>
        <v>1184.21</v>
      </c>
      <c r="K314" s="18"/>
      <c r="L314" s="19">
        <f>SUM(F314:K314)</f>
        <v>1184.21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20011.64</v>
      </c>
      <c r="G315" s="18">
        <v>448.4</v>
      </c>
      <c r="H315" s="18">
        <v>2206.33</v>
      </c>
      <c r="I315" s="18">
        <v>800.99</v>
      </c>
      <c r="J315" s="18"/>
      <c r="K315" s="18"/>
      <c r="L315" s="19">
        <f>SUM(F315:K315)</f>
        <v>23467.360000000004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11250</v>
      </c>
      <c r="G317" s="18">
        <v>860.66</v>
      </c>
      <c r="H317" s="18"/>
      <c r="I317" s="18">
        <v>3454.6</v>
      </c>
      <c r="J317" s="18"/>
      <c r="K317" s="18">
        <v>10513.42</v>
      </c>
      <c r="L317" s="19">
        <f>SUM(F317:K317)</f>
        <v>26078.68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v>98.46</v>
      </c>
      <c r="J319" s="18"/>
      <c r="K319" s="18"/>
      <c r="L319" s="19">
        <f t="shared" ref="L319:L325" si="16">SUM(F319:K319)</f>
        <v>98.46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435</v>
      </c>
      <c r="G320" s="18">
        <v>63.56</v>
      </c>
      <c r="H320" s="18">
        <v>11816.62</v>
      </c>
      <c r="I320" s="18">
        <v>24644.38</v>
      </c>
      <c r="J320" s="18"/>
      <c r="K320" s="18"/>
      <c r="L320" s="19">
        <f t="shared" si="16"/>
        <v>36959.56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>
        <v>6597.5</v>
      </c>
      <c r="I321" s="18"/>
      <c r="J321" s="18"/>
      <c r="K321" s="18"/>
      <c r="L321" s="19">
        <f t="shared" si="16"/>
        <v>6597.5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/>
      <c r="H324" s="18"/>
      <c r="I324" s="18">
        <v>0</v>
      </c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31696.639999999999</v>
      </c>
      <c r="G328" s="42">
        <f t="shared" si="17"/>
        <v>1372.62</v>
      </c>
      <c r="H328" s="42">
        <f t="shared" si="17"/>
        <v>20620.45</v>
      </c>
      <c r="I328" s="42">
        <f t="shared" si="17"/>
        <v>28998.43</v>
      </c>
      <c r="J328" s="42">
        <f t="shared" si="17"/>
        <v>1184.21</v>
      </c>
      <c r="K328" s="42">
        <f t="shared" si="17"/>
        <v>10513.42</v>
      </c>
      <c r="L328" s="41">
        <f t="shared" si="17"/>
        <v>94385.76999999999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2450</v>
      </c>
      <c r="G333" s="18">
        <v>226.71</v>
      </c>
      <c r="H333" s="18"/>
      <c r="I333" s="18">
        <v>510.13</v>
      </c>
      <c r="J333" s="18"/>
      <c r="K333" s="18"/>
      <c r="L333" s="19">
        <f t="shared" si="18"/>
        <v>3186.84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2450</v>
      </c>
      <c r="G337" s="41">
        <f t="shared" si="19"/>
        <v>226.71</v>
      </c>
      <c r="H337" s="41">
        <f t="shared" si="19"/>
        <v>0</v>
      </c>
      <c r="I337" s="41">
        <f t="shared" si="19"/>
        <v>510.13</v>
      </c>
      <c r="J337" s="41">
        <f t="shared" si="19"/>
        <v>0</v>
      </c>
      <c r="K337" s="41">
        <f t="shared" si="19"/>
        <v>0</v>
      </c>
      <c r="L337" s="41">
        <f t="shared" si="18"/>
        <v>3186.84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437642.33000000007</v>
      </c>
      <c r="G338" s="41">
        <f t="shared" si="20"/>
        <v>137621.43</v>
      </c>
      <c r="H338" s="41">
        <f t="shared" si="20"/>
        <v>80139.81</v>
      </c>
      <c r="I338" s="41">
        <f t="shared" si="20"/>
        <v>46815.24</v>
      </c>
      <c r="J338" s="41">
        <f t="shared" si="20"/>
        <v>6802.44</v>
      </c>
      <c r="K338" s="41">
        <f t="shared" si="20"/>
        <v>11155.11</v>
      </c>
      <c r="L338" s="41">
        <f t="shared" si="20"/>
        <v>720176.36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437642.33000000007</v>
      </c>
      <c r="G352" s="41">
        <f>G338</f>
        <v>137621.43</v>
      </c>
      <c r="H352" s="41">
        <f>H338</f>
        <v>80139.81</v>
      </c>
      <c r="I352" s="41">
        <f>I338</f>
        <v>46815.24</v>
      </c>
      <c r="J352" s="41">
        <f>J338</f>
        <v>6802.44</v>
      </c>
      <c r="K352" s="47">
        <f>K338+K351</f>
        <v>11155.11</v>
      </c>
      <c r="L352" s="41">
        <f>L338+L351</f>
        <v>720176.36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191895.17</v>
      </c>
      <c r="G358" s="18">
        <v>55674.06</v>
      </c>
      <c r="H358" s="18">
        <v>6039.97</v>
      </c>
      <c r="I358" s="18">
        <v>260789.27</v>
      </c>
      <c r="J358" s="18">
        <v>40631.870000000003</v>
      </c>
      <c r="K358" s="18">
        <v>527.17999999999995</v>
      </c>
      <c r="L358" s="13">
        <f>SUM(F358:K358)</f>
        <v>555557.52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122726.96</v>
      </c>
      <c r="G360" s="18">
        <v>22740.11</v>
      </c>
      <c r="H360" s="18">
        <v>2355.5</v>
      </c>
      <c r="I360" s="18">
        <v>174913.56</v>
      </c>
      <c r="J360" s="18">
        <v>16596.12</v>
      </c>
      <c r="K360" s="18">
        <v>215.32</v>
      </c>
      <c r="L360" s="19">
        <f>SUM(F360:K360)</f>
        <v>339547.57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314622.13</v>
      </c>
      <c r="G362" s="47">
        <f t="shared" si="22"/>
        <v>78414.17</v>
      </c>
      <c r="H362" s="47">
        <f t="shared" si="22"/>
        <v>8395.4700000000012</v>
      </c>
      <c r="I362" s="47">
        <f t="shared" si="22"/>
        <v>435702.82999999996</v>
      </c>
      <c r="J362" s="47">
        <f t="shared" si="22"/>
        <v>57227.990000000005</v>
      </c>
      <c r="K362" s="47">
        <f t="shared" si="22"/>
        <v>742.5</v>
      </c>
      <c r="L362" s="47">
        <f t="shared" si="22"/>
        <v>895105.09000000008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242928.18</v>
      </c>
      <c r="G367" s="18"/>
      <c r="H367" s="18">
        <v>160889.63</v>
      </c>
      <c r="I367" s="56">
        <f>SUM(F367:H367)</f>
        <v>403817.81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17861.099999999999</v>
      </c>
      <c r="G368" s="63"/>
      <c r="H368" s="63">
        <v>14023.92</v>
      </c>
      <c r="I368" s="56">
        <f>SUM(F368:H368)</f>
        <v>31885.019999999997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260789.28</v>
      </c>
      <c r="G369" s="47">
        <f>SUM(G367:G368)</f>
        <v>0</v>
      </c>
      <c r="H369" s="47">
        <f>SUM(H367:H368)</f>
        <v>174913.55000000002</v>
      </c>
      <c r="I369" s="47">
        <f>SUM(I367:I368)</f>
        <v>435702.83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>
        <v>0</v>
      </c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0</v>
      </c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7.1</v>
      </c>
      <c r="I392" s="18"/>
      <c r="J392" s="24" t="s">
        <v>289</v>
      </c>
      <c r="K392" s="24" t="s">
        <v>289</v>
      </c>
      <c r="L392" s="56">
        <f t="shared" si="25"/>
        <v>7.1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7.1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7.1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1.87</v>
      </c>
      <c r="I396" s="18"/>
      <c r="J396" s="24" t="s">
        <v>289</v>
      </c>
      <c r="K396" s="24" t="s">
        <v>289</v>
      </c>
      <c r="L396" s="56">
        <f t="shared" si="26"/>
        <v>1.87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1.87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1.87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8.9699999999999989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8.9699999999999989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125900</v>
      </c>
      <c r="L418" s="56">
        <f t="shared" si="27"/>
        <v>125900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125900</v>
      </c>
      <c r="L419" s="47">
        <f t="shared" si="28"/>
        <v>125900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125900</v>
      </c>
      <c r="L434" s="47">
        <f t="shared" si="32"/>
        <v>125900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71026.929999999993</v>
      </c>
      <c r="G439" s="18"/>
      <c r="H439" s="18">
        <v>18590.990000000002</v>
      </c>
      <c r="I439" s="56">
        <f t="shared" ref="I439:I445" si="33">SUM(F439:H439)</f>
        <v>89617.919999999998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71026.929999999993</v>
      </c>
      <c r="G446" s="13">
        <f>SUM(G439:G445)</f>
        <v>0</v>
      </c>
      <c r="H446" s="13">
        <f>SUM(H439:H445)</f>
        <v>18590.990000000002</v>
      </c>
      <c r="I446" s="13">
        <f>SUM(I439:I445)</f>
        <v>89617.919999999998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71026.929999999993</v>
      </c>
      <c r="G459" s="18"/>
      <c r="H459" s="18">
        <v>18590.990000000002</v>
      </c>
      <c r="I459" s="56">
        <f t="shared" si="34"/>
        <v>89617.919999999998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71026.929999999993</v>
      </c>
      <c r="G460" s="83">
        <f>SUM(G454:G459)</f>
        <v>0</v>
      </c>
      <c r="H460" s="83">
        <f>SUM(H454:H459)</f>
        <v>18590.990000000002</v>
      </c>
      <c r="I460" s="83">
        <f>SUM(I454:I459)</f>
        <v>89617.919999999998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71026.929999999993</v>
      </c>
      <c r="G461" s="42">
        <f>G452+G460</f>
        <v>0</v>
      </c>
      <c r="H461" s="42">
        <f>H452+H460</f>
        <v>18590.990000000002</v>
      </c>
      <c r="I461" s="42">
        <f>I452+I460</f>
        <v>89617.919999999998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1345302.2</v>
      </c>
      <c r="G465" s="18">
        <v>179751.42</v>
      </c>
      <c r="H465" s="18">
        <v>39678.19</v>
      </c>
      <c r="I465" s="18"/>
      <c r="J465" s="18">
        <v>215508.95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44935679.950000003</v>
      </c>
      <c r="G468" s="18">
        <v>947211.68</v>
      </c>
      <c r="H468" s="18">
        <v>793542.19</v>
      </c>
      <c r="I468" s="18">
        <v>0</v>
      </c>
      <c r="J468" s="18">
        <v>8.9700000000000006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44935679.950000003</v>
      </c>
      <c r="G470" s="53">
        <f>SUM(G468:G469)</f>
        <v>947211.68</v>
      </c>
      <c r="H470" s="53">
        <f>SUM(H468:H469)</f>
        <v>793542.19</v>
      </c>
      <c r="I470" s="53">
        <f>SUM(I468:I469)</f>
        <v>0</v>
      </c>
      <c r="J470" s="53">
        <f>SUM(J468:J469)</f>
        <v>8.9700000000000006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42955775.560000002</v>
      </c>
      <c r="G472" s="18">
        <v>895105.09</v>
      </c>
      <c r="H472" s="18">
        <v>720176.36</v>
      </c>
      <c r="I472" s="18">
        <v>0</v>
      </c>
      <c r="J472" s="18">
        <v>125900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42955775.560000002</v>
      </c>
      <c r="G474" s="53">
        <f>SUM(G472:G473)</f>
        <v>895105.09</v>
      </c>
      <c r="H474" s="53">
        <f>SUM(H472:H473)</f>
        <v>720176.36</v>
      </c>
      <c r="I474" s="53">
        <f>SUM(I472:I473)</f>
        <v>0</v>
      </c>
      <c r="J474" s="53">
        <f>SUM(J472:J473)</f>
        <v>125900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3325206.5900000036</v>
      </c>
      <c r="G476" s="53">
        <f>(G465+G470)- G474</f>
        <v>231858.01000000013</v>
      </c>
      <c r="H476" s="53">
        <f>(H465+H470)- H474</f>
        <v>113044.0199999999</v>
      </c>
      <c r="I476" s="53">
        <f>(I465+I470)- I474</f>
        <v>0</v>
      </c>
      <c r="J476" s="53">
        <f>(J465+J470)- J474</f>
        <v>89617.920000000013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913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42753296</v>
      </c>
      <c r="G493" s="18">
        <v>4000000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</v>
      </c>
      <c r="G494" s="18">
        <v>3.69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22120000</v>
      </c>
      <c r="G495" s="18">
        <v>1865000</v>
      </c>
      <c r="H495" s="18"/>
      <c r="I495" s="18"/>
      <c r="J495" s="18"/>
      <c r="K495" s="53">
        <f>SUM(F495:J495)</f>
        <v>23985000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2580000</v>
      </c>
      <c r="G497" s="18">
        <v>375000</v>
      </c>
      <c r="H497" s="18"/>
      <c r="I497" s="18"/>
      <c r="J497" s="18"/>
      <c r="K497" s="53">
        <f t="shared" si="35"/>
        <v>2955000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19305000</v>
      </c>
      <c r="G498" s="204">
        <v>1490000</v>
      </c>
      <c r="H498" s="204"/>
      <c r="I498" s="204"/>
      <c r="J498" s="204"/>
      <c r="K498" s="205">
        <f t="shared" si="35"/>
        <v>20795000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3603037.5</v>
      </c>
      <c r="G499" s="18">
        <v>155925</v>
      </c>
      <c r="H499" s="18"/>
      <c r="I499" s="18"/>
      <c r="J499" s="18"/>
      <c r="K499" s="53">
        <f t="shared" si="35"/>
        <v>3758962.5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22908037.5</v>
      </c>
      <c r="G500" s="42">
        <f>SUM(G498:G499)</f>
        <v>1645925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24553962.5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2560000</v>
      </c>
      <c r="G501" s="204">
        <v>375000</v>
      </c>
      <c r="H501" s="204"/>
      <c r="I501" s="204"/>
      <c r="J501" s="204"/>
      <c r="K501" s="205">
        <f t="shared" si="35"/>
        <v>2935000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287187.5+261587.5</f>
        <v>548775</v>
      </c>
      <c r="G502" s="18">
        <f>39112.5+29268.75</f>
        <v>68381.25</v>
      </c>
      <c r="H502" s="18"/>
      <c r="I502" s="18"/>
      <c r="J502" s="18"/>
      <c r="K502" s="53">
        <f t="shared" si="35"/>
        <v>617156.25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3108775</v>
      </c>
      <c r="G503" s="42">
        <f>SUM(G501:G502)</f>
        <v>443381.25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3552156.25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2861163.9</v>
      </c>
      <c r="G521" s="18">
        <v>1332204.07</v>
      </c>
      <c r="H521" s="18">
        <v>962976.96</v>
      </c>
      <c r="I521" s="18">
        <v>38229.68</v>
      </c>
      <c r="J521" s="18">
        <v>26980.91</v>
      </c>
      <c r="K521" s="18">
        <v>20830.060000000001</v>
      </c>
      <c r="L521" s="88">
        <f>SUM(F521:K521)</f>
        <v>5242385.5799999991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867382.95</v>
      </c>
      <c r="G523" s="18">
        <v>372662.06</v>
      </c>
      <c r="H523" s="18">
        <v>396577.7</v>
      </c>
      <c r="I523" s="18">
        <v>15187.67</v>
      </c>
      <c r="J523" s="18">
        <v>3333.87</v>
      </c>
      <c r="K523" s="18">
        <v>8508.0499999999993</v>
      </c>
      <c r="L523" s="88">
        <f>SUM(F523:K523)</f>
        <v>1663652.3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3728546.8499999996</v>
      </c>
      <c r="G524" s="108">
        <f t="shared" ref="G524:L524" si="36">SUM(G521:G523)</f>
        <v>1704866.1300000001</v>
      </c>
      <c r="H524" s="108">
        <f t="shared" si="36"/>
        <v>1359554.66</v>
      </c>
      <c r="I524" s="108">
        <f t="shared" si="36"/>
        <v>53417.35</v>
      </c>
      <c r="J524" s="108">
        <f t="shared" si="36"/>
        <v>30314.78</v>
      </c>
      <c r="K524" s="108">
        <f t="shared" si="36"/>
        <v>29338.11</v>
      </c>
      <c r="L524" s="89">
        <f t="shared" si="36"/>
        <v>6906037.879999999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896980.28</v>
      </c>
      <c r="G526" s="18">
        <v>370803.01</v>
      </c>
      <c r="H526" s="18">
        <v>152139.10999999999</v>
      </c>
      <c r="I526" s="18">
        <v>13856.63</v>
      </c>
      <c r="J526" s="18">
        <v>25062.880000000001</v>
      </c>
      <c r="K526" s="18">
        <v>247.08</v>
      </c>
      <c r="L526" s="88">
        <f>SUM(F526:K526)</f>
        <v>1459088.9899999998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111127.26</v>
      </c>
      <c r="G528" s="18">
        <v>92700.75</v>
      </c>
      <c r="H528" s="18">
        <v>62141.33</v>
      </c>
      <c r="I528" s="18">
        <v>5034.95</v>
      </c>
      <c r="J528" s="18">
        <v>2750.33</v>
      </c>
      <c r="K528" s="18">
        <v>100.92</v>
      </c>
      <c r="L528" s="88">
        <f>SUM(F528:K528)</f>
        <v>273855.54000000004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1008107.54</v>
      </c>
      <c r="G529" s="89">
        <f t="shared" ref="G529:L529" si="37">SUM(G526:G528)</f>
        <v>463503.76</v>
      </c>
      <c r="H529" s="89">
        <f t="shared" si="37"/>
        <v>214280.44</v>
      </c>
      <c r="I529" s="89">
        <f t="shared" si="37"/>
        <v>18891.579999999998</v>
      </c>
      <c r="J529" s="89">
        <f t="shared" si="37"/>
        <v>27813.21</v>
      </c>
      <c r="K529" s="89">
        <f t="shared" si="37"/>
        <v>348</v>
      </c>
      <c r="L529" s="89">
        <f t="shared" si="37"/>
        <v>1732944.5299999998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83442.89</v>
      </c>
      <c r="G531" s="18">
        <v>185401.51</v>
      </c>
      <c r="H531" s="18"/>
      <c r="I531" s="18"/>
      <c r="J531" s="18"/>
      <c r="K531" s="18"/>
      <c r="L531" s="88">
        <f>SUM(F531:K531)</f>
        <v>268844.40000000002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34082.31</v>
      </c>
      <c r="G533" s="18">
        <v>92700.75</v>
      </c>
      <c r="H533" s="18"/>
      <c r="I533" s="18"/>
      <c r="J533" s="18"/>
      <c r="K533" s="18"/>
      <c r="L533" s="88">
        <f>SUM(F533:K533)</f>
        <v>126783.06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117525.2</v>
      </c>
      <c r="G534" s="89">
        <f t="shared" ref="G534:L534" si="38">SUM(G531:G533)</f>
        <v>278102.26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395627.46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447246.32</v>
      </c>
      <c r="I541" s="18"/>
      <c r="J541" s="18"/>
      <c r="K541" s="18"/>
      <c r="L541" s="88">
        <f>SUM(F541:K541)</f>
        <v>447246.32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182678.07</v>
      </c>
      <c r="I543" s="18"/>
      <c r="J543" s="18"/>
      <c r="K543" s="18"/>
      <c r="L543" s="88">
        <f>SUM(F543:K543)</f>
        <v>182678.07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629924.39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629924.39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4854179.59</v>
      </c>
      <c r="G545" s="89">
        <f t="shared" ref="G545:L545" si="41">G524+G529+G534+G539+G544</f>
        <v>2446472.1500000004</v>
      </c>
      <c r="H545" s="89">
        <f t="shared" si="41"/>
        <v>2203759.4899999998</v>
      </c>
      <c r="I545" s="89">
        <f t="shared" si="41"/>
        <v>72308.929999999993</v>
      </c>
      <c r="J545" s="89">
        <f t="shared" si="41"/>
        <v>58127.99</v>
      </c>
      <c r="K545" s="89">
        <f t="shared" si="41"/>
        <v>29686.11</v>
      </c>
      <c r="L545" s="89">
        <f t="shared" si="41"/>
        <v>9664534.2599999998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5242385.5799999991</v>
      </c>
      <c r="G549" s="87">
        <f>L526</f>
        <v>1459088.9899999998</v>
      </c>
      <c r="H549" s="87">
        <f>L531</f>
        <v>268844.40000000002</v>
      </c>
      <c r="I549" s="87">
        <f>L536</f>
        <v>0</v>
      </c>
      <c r="J549" s="87">
        <f>L541</f>
        <v>447246.32</v>
      </c>
      <c r="K549" s="87">
        <f>SUM(F549:J549)</f>
        <v>7417565.2899999991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1663652.3</v>
      </c>
      <c r="G551" s="87">
        <f>L528</f>
        <v>273855.54000000004</v>
      </c>
      <c r="H551" s="87">
        <f>L533</f>
        <v>126783.06</v>
      </c>
      <c r="I551" s="87">
        <f>L538</f>
        <v>0</v>
      </c>
      <c r="J551" s="87">
        <f>L543</f>
        <v>182678.07</v>
      </c>
      <c r="K551" s="87">
        <f>SUM(F551:J551)</f>
        <v>2246968.9700000002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6906037.879999999</v>
      </c>
      <c r="G552" s="89">
        <f t="shared" si="42"/>
        <v>1732944.5299999998</v>
      </c>
      <c r="H552" s="89">
        <f t="shared" si="42"/>
        <v>395627.46</v>
      </c>
      <c r="I552" s="89">
        <f t="shared" si="42"/>
        <v>0</v>
      </c>
      <c r="J552" s="89">
        <f t="shared" si="42"/>
        <v>629924.39</v>
      </c>
      <c r="K552" s="89">
        <f t="shared" si="42"/>
        <v>9664534.2599999998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109775.95</v>
      </c>
      <c r="G562" s="18">
        <v>46685.56</v>
      </c>
      <c r="H562" s="18">
        <v>770.03</v>
      </c>
      <c r="I562" s="18">
        <v>3360.67</v>
      </c>
      <c r="J562" s="18"/>
      <c r="K562" s="18"/>
      <c r="L562" s="88">
        <f>SUM(F562:K562)</f>
        <v>160592.21000000002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44838.06</v>
      </c>
      <c r="G564" s="18">
        <v>18677.060000000001</v>
      </c>
      <c r="H564" s="18">
        <v>314.52</v>
      </c>
      <c r="I564" s="18">
        <v>1372.67</v>
      </c>
      <c r="J564" s="18"/>
      <c r="K564" s="18"/>
      <c r="L564" s="88">
        <f>SUM(F564:K564)</f>
        <v>65202.30999999999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154614.01</v>
      </c>
      <c r="G565" s="89">
        <f t="shared" si="44"/>
        <v>65362.619999999995</v>
      </c>
      <c r="H565" s="89">
        <f t="shared" si="44"/>
        <v>1084.55</v>
      </c>
      <c r="I565" s="89">
        <f t="shared" si="44"/>
        <v>4733.34</v>
      </c>
      <c r="J565" s="89">
        <f t="shared" si="44"/>
        <v>0</v>
      </c>
      <c r="K565" s="89">
        <f t="shared" si="44"/>
        <v>0</v>
      </c>
      <c r="L565" s="89">
        <f t="shared" si="44"/>
        <v>225794.52000000002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154614.01</v>
      </c>
      <c r="G571" s="89">
        <f t="shared" ref="G571:L571" si="46">G560+G565+G570</f>
        <v>65362.619999999995</v>
      </c>
      <c r="H571" s="89">
        <f t="shared" si="46"/>
        <v>1084.55</v>
      </c>
      <c r="I571" s="89">
        <f t="shared" si="46"/>
        <v>4733.34</v>
      </c>
      <c r="J571" s="89">
        <f t="shared" si="46"/>
        <v>0</v>
      </c>
      <c r="K571" s="89">
        <f t="shared" si="46"/>
        <v>0</v>
      </c>
      <c r="L571" s="89">
        <f t="shared" si="46"/>
        <v>225794.52000000002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43638.720000000001</v>
      </c>
      <c r="G579" s="18"/>
      <c r="H579" s="18">
        <f>80556.04-43638.72</f>
        <v>36917.319999999992</v>
      </c>
      <c r="I579" s="87">
        <f t="shared" si="47"/>
        <v>80556.039999999994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418422.73+6654.92</f>
        <v>425077.64999999997</v>
      </c>
      <c r="G582" s="18"/>
      <c r="H582" s="18">
        <v>622257.53</v>
      </c>
      <c r="I582" s="87">
        <f t="shared" si="47"/>
        <v>1047335.1799999999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52945.32</v>
      </c>
      <c r="I584" s="87">
        <f t="shared" si="47"/>
        <v>52945.32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1016704.71</v>
      </c>
      <c r="I591" s="18"/>
      <c r="J591" s="18">
        <v>415273.76</v>
      </c>
      <c r="K591" s="104">
        <f t="shared" ref="K591:K597" si="48">SUM(H591:J591)</f>
        <v>1431978.47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447246.32</v>
      </c>
      <c r="I592" s="18"/>
      <c r="J592" s="18">
        <v>182678.07</v>
      </c>
      <c r="K592" s="104">
        <f t="shared" si="48"/>
        <v>629924.39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139025.71</v>
      </c>
      <c r="K593" s="104">
        <f t="shared" si="48"/>
        <v>139025.71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22528.14</v>
      </c>
      <c r="I594" s="18"/>
      <c r="J594" s="18">
        <v>114849.19</v>
      </c>
      <c r="K594" s="104">
        <f t="shared" si="48"/>
        <v>137377.33000000002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13782.41</v>
      </c>
      <c r="I595" s="18"/>
      <c r="J595" s="18">
        <v>3382.96</v>
      </c>
      <c r="K595" s="104">
        <f t="shared" si="48"/>
        <v>17165.37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15582.19</v>
      </c>
      <c r="I597" s="18"/>
      <c r="J597" s="18">
        <v>6364.56</v>
      </c>
      <c r="K597" s="104">
        <f t="shared" si="48"/>
        <v>21946.75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1515843.7699999998</v>
      </c>
      <c r="I598" s="108">
        <f>SUM(I591:I597)</f>
        <v>0</v>
      </c>
      <c r="J598" s="108">
        <f>SUM(J591:J597)</f>
        <v>861574.25</v>
      </c>
      <c r="K598" s="108">
        <f>SUM(K591:K597)</f>
        <v>2377418.02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342955.38</v>
      </c>
      <c r="I604" s="18"/>
      <c r="J604" s="18">
        <v>559006.87</v>
      </c>
      <c r="K604" s="104">
        <f>SUM(H604:J604)</f>
        <v>901962.25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342955.38</v>
      </c>
      <c r="I605" s="108">
        <f>SUM(I602:I604)</f>
        <v>0</v>
      </c>
      <c r="J605" s="108">
        <f>SUM(J602:J604)</f>
        <v>559006.87</v>
      </c>
      <c r="K605" s="108">
        <f>SUM(K602:K604)</f>
        <v>901962.25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106568.78</v>
      </c>
      <c r="G611" s="18">
        <v>46350.38</v>
      </c>
      <c r="H611" s="18">
        <v>70773.13</v>
      </c>
      <c r="I611" s="18">
        <v>0</v>
      </c>
      <c r="J611" s="18"/>
      <c r="K611" s="18"/>
      <c r="L611" s="88">
        <f>SUM(F611:K611)</f>
        <v>223692.29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43528.1</v>
      </c>
      <c r="G613" s="18">
        <v>18540.150000000001</v>
      </c>
      <c r="H613" s="18">
        <v>28907.34</v>
      </c>
      <c r="I613" s="18">
        <v>0</v>
      </c>
      <c r="J613" s="18"/>
      <c r="K613" s="18"/>
      <c r="L613" s="88">
        <f>SUM(F613:K613)</f>
        <v>90975.59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150096.88</v>
      </c>
      <c r="G614" s="108">
        <f t="shared" si="49"/>
        <v>64890.53</v>
      </c>
      <c r="H614" s="108">
        <f t="shared" si="49"/>
        <v>99680.47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314667.88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3655121.3</v>
      </c>
      <c r="H617" s="109">
        <f>SUM(F52)</f>
        <v>3655121.3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263230.33999999997</v>
      </c>
      <c r="H618" s="109">
        <f>SUM(G52)</f>
        <v>263230.34000000003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178629.3</v>
      </c>
      <c r="H619" s="109">
        <f>SUM(H52)</f>
        <v>178629.3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89617.919999999998</v>
      </c>
      <c r="H621" s="109">
        <f>SUM(J52)</f>
        <v>89617.919999999998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3325206.59</v>
      </c>
      <c r="H622" s="109">
        <f>F476</f>
        <v>3325206.5900000036</v>
      </c>
      <c r="I622" s="121" t="s">
        <v>101</v>
      </c>
      <c r="J622" s="109">
        <f t="shared" ref="J622:J655" si="50">G622-H622</f>
        <v>-3.7252902984619141E-9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231858.01</v>
      </c>
      <c r="H623" s="109">
        <f>G476</f>
        <v>231858.01000000013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113044.02</v>
      </c>
      <c r="H624" s="109">
        <f>H476</f>
        <v>113044.0199999999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89617.919999999998</v>
      </c>
      <c r="H626" s="109">
        <f>J476</f>
        <v>89617.920000000013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44935679.950000003</v>
      </c>
      <c r="H627" s="104">
        <f>SUM(F468)</f>
        <v>44935679.950000003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947211.68</v>
      </c>
      <c r="H628" s="104">
        <f>SUM(G468)</f>
        <v>947211.68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793542.19000000006</v>
      </c>
      <c r="H629" s="104">
        <f>SUM(H468)</f>
        <v>793542.19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8.9700000000000006</v>
      </c>
      <c r="H631" s="104">
        <f>SUM(J468)</f>
        <v>8.9700000000000006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42955775.560000002</v>
      </c>
      <c r="H632" s="104">
        <f>SUM(F472)</f>
        <v>42955775.560000002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720176.36</v>
      </c>
      <c r="H633" s="104">
        <f>SUM(H472)</f>
        <v>720176.36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435702.82999999996</v>
      </c>
      <c r="H634" s="104">
        <f>I369</f>
        <v>435702.83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895105.09000000008</v>
      </c>
      <c r="H635" s="104">
        <f>SUM(G472)</f>
        <v>895105.09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8.9699999999999989</v>
      </c>
      <c r="H637" s="164">
        <f>SUM(J468)</f>
        <v>8.9700000000000006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125900</v>
      </c>
      <c r="H638" s="164">
        <f>SUM(J472)</f>
        <v>125900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71026.929999999993</v>
      </c>
      <c r="H639" s="104">
        <f>SUM(F461)</f>
        <v>71026.929999999993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18590.990000000002</v>
      </c>
      <c r="H641" s="104">
        <f>SUM(H461)</f>
        <v>18590.990000000002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89617.919999999998</v>
      </c>
      <c r="H642" s="104">
        <f>SUM(I461)</f>
        <v>89617.919999999998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8.9700000000000006</v>
      </c>
      <c r="H644" s="104">
        <f>H408</f>
        <v>8.9699999999999989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8.9700000000000006</v>
      </c>
      <c r="H646" s="104">
        <f>L408</f>
        <v>8.9699999999999989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2377418.02</v>
      </c>
      <c r="H647" s="104">
        <f>L208+L226+L244</f>
        <v>2377418.02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901962.25</v>
      </c>
      <c r="H648" s="104">
        <f>(J257+J338)-(J255+J336)</f>
        <v>901962.25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1515843.77</v>
      </c>
      <c r="H649" s="104">
        <f>H598</f>
        <v>1515843.7699999998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861574.25</v>
      </c>
      <c r="H651" s="104">
        <f>J598</f>
        <v>861574.25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1870</v>
      </c>
      <c r="H653" s="104">
        <f>K264</f>
        <v>1870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27828691.810000006</v>
      </c>
      <c r="G660" s="19">
        <f>(L229+L309+L359)</f>
        <v>0</v>
      </c>
      <c r="H660" s="19">
        <f>(L247+L328+L360)</f>
        <v>13221868.060000002</v>
      </c>
      <c r="I660" s="19">
        <f>SUM(F660:H660)</f>
        <v>41050559.870000005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479359.46268501366</v>
      </c>
      <c r="G661" s="19">
        <f>(L359/IF(SUM(L358:L360)=0,1,SUM(L358:L360))*(SUM(G97:G110)))</f>
        <v>0</v>
      </c>
      <c r="H661" s="19">
        <f>(L360/IF(SUM(L358:L360)=0,1,SUM(L358:L360))*(SUM(G97:G110)))</f>
        <v>292976.57731498632</v>
      </c>
      <c r="I661" s="19">
        <f>SUM(F661:H661)</f>
        <v>772336.04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1515843.77</v>
      </c>
      <c r="G662" s="19">
        <f>(L226+L306)-(J226+J306)</f>
        <v>0</v>
      </c>
      <c r="H662" s="19">
        <f>(L244+L325)-(J244+J325)</f>
        <v>861574.25</v>
      </c>
      <c r="I662" s="19">
        <f>SUM(F662:H662)</f>
        <v>2377418.02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1035364.04</v>
      </c>
      <c r="G663" s="199">
        <f>SUM(G575:G587)+SUM(I602:I604)+L612</f>
        <v>0</v>
      </c>
      <c r="H663" s="199">
        <f>SUM(H575:H587)+SUM(J602:J604)+L613</f>
        <v>1362102.6300000001</v>
      </c>
      <c r="I663" s="19">
        <f>SUM(F663:H663)</f>
        <v>2397466.67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24798124.537314992</v>
      </c>
      <c r="G664" s="19">
        <f>G660-SUM(G661:G663)</f>
        <v>0</v>
      </c>
      <c r="H664" s="19">
        <f>H660-SUM(H661:H663)</f>
        <v>10705214.602685016</v>
      </c>
      <c r="I664" s="19">
        <f>I660-SUM(I661:I663)</f>
        <v>35503339.140000001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1971.97</v>
      </c>
      <c r="G665" s="248"/>
      <c r="H665" s="248">
        <v>809.25</v>
      </c>
      <c r="I665" s="19">
        <f>SUM(F665:H665)</f>
        <v>2781.2200000000003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12575.31</v>
      </c>
      <c r="G667" s="19" t="e">
        <f>ROUND(G664/G665,2)</f>
        <v>#DIV/0!</v>
      </c>
      <c r="H667" s="19">
        <f>ROUND(H664/H665,2)</f>
        <v>13228.56</v>
      </c>
      <c r="I667" s="19">
        <f>ROUND(I664/I665,2)</f>
        <v>12765.38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-13.27</v>
      </c>
      <c r="I670" s="19">
        <f>SUM(F670:H670)</f>
        <v>-13.27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12575.31</v>
      </c>
      <c r="G672" s="19" t="e">
        <f>ROUND((G664+G669)/(G665+G670),2)</f>
        <v>#DIV/0!</v>
      </c>
      <c r="H672" s="19">
        <f>ROUND((H664+H669)/(H665+H670),2)</f>
        <v>13449.1</v>
      </c>
      <c r="I672" s="19">
        <f>ROUND((I664+I669)/(I665+I670),2)</f>
        <v>12826.58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B2" sqref="B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Windham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10693331.57</v>
      </c>
      <c r="C9" s="229">
        <f>'DOE25'!G197+'DOE25'!G215+'DOE25'!G233+'DOE25'!G276+'DOE25'!G295+'DOE25'!G314</f>
        <v>5001914.26</v>
      </c>
    </row>
    <row r="10" spans="1:3" x14ac:dyDescent="0.2">
      <c r="A10" t="s">
        <v>779</v>
      </c>
      <c r="B10" s="240">
        <v>9676634.8699999992</v>
      </c>
      <c r="C10" s="240">
        <f>(B10/B9)*C9</f>
        <v>4526344.0704351263</v>
      </c>
    </row>
    <row r="11" spans="1:3" x14ac:dyDescent="0.2">
      <c r="A11" t="s">
        <v>780</v>
      </c>
      <c r="B11" s="240">
        <v>574983.76</v>
      </c>
      <c r="C11" s="240">
        <f>(B11/B10)*C10</f>
        <v>268954.48341666051</v>
      </c>
    </row>
    <row r="12" spans="1:3" x14ac:dyDescent="0.2">
      <c r="A12" t="s">
        <v>781</v>
      </c>
      <c r="B12" s="240">
        <v>441712.94</v>
      </c>
      <c r="C12" s="240">
        <f>(B12/B11)*C11</f>
        <v>206615.70614821251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10693331.569999998</v>
      </c>
      <c r="C13" s="231">
        <f>SUM(C10:C12)</f>
        <v>5001914.26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3921343.86</v>
      </c>
      <c r="C18" s="229">
        <f>'DOE25'!G198+'DOE25'!G216+'DOE25'!G234+'DOE25'!G277+'DOE25'!G296+'DOE25'!G315</f>
        <v>1764245.08</v>
      </c>
    </row>
    <row r="19" spans="1:3" x14ac:dyDescent="0.2">
      <c r="A19" t="s">
        <v>779</v>
      </c>
      <c r="B19" s="240">
        <v>1881879.15</v>
      </c>
      <c r="C19" s="240">
        <f>(B19/B18)*C18</f>
        <v>846673.01569979684</v>
      </c>
    </row>
    <row r="20" spans="1:3" x14ac:dyDescent="0.2">
      <c r="A20" t="s">
        <v>780</v>
      </c>
      <c r="B20" s="240">
        <v>1601086.71</v>
      </c>
      <c r="C20" s="240">
        <f>(B20/B19)*C19</f>
        <v>720342.17136236734</v>
      </c>
    </row>
    <row r="21" spans="1:3" x14ac:dyDescent="0.2">
      <c r="A21" t="s">
        <v>781</v>
      </c>
      <c r="B21" s="240">
        <v>438378</v>
      </c>
      <c r="C21" s="240">
        <f>(B21/B20)*C20</f>
        <v>197229.89293783586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3921343.86</v>
      </c>
      <c r="C22" s="231">
        <f>SUM(C19:C21)</f>
        <v>1764245.08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540699.28</v>
      </c>
      <c r="C36" s="235">
        <f>'DOE25'!G200+'DOE25'!G218+'DOE25'!G236+'DOE25'!G279+'DOE25'!G298+'DOE25'!G317</f>
        <v>298256.23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540699.28</v>
      </c>
      <c r="C39" s="240">
        <f>C36</f>
        <v>298256.23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540699.28</v>
      </c>
      <c r="C40" s="231">
        <f>SUM(C37:C39)</f>
        <v>298256.23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B2" sqref="B2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Windham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24150546.770000003</v>
      </c>
      <c r="D5" s="20">
        <f>SUM('DOE25'!L197:L200)+SUM('DOE25'!L215:L218)+SUM('DOE25'!L233:L236)-F5-G5</f>
        <v>23803823.720000006</v>
      </c>
      <c r="E5" s="243"/>
      <c r="F5" s="255">
        <f>SUM('DOE25'!J197:J200)+SUM('DOE25'!J215:J218)+SUM('DOE25'!J233:J236)</f>
        <v>210249.74</v>
      </c>
      <c r="G5" s="53">
        <f>SUM('DOE25'!K197:K200)+SUM('DOE25'!K215:K218)+SUM('DOE25'!K233:K236)</f>
        <v>136473.31</v>
      </c>
      <c r="H5" s="259"/>
    </row>
    <row r="6" spans="1:9" x14ac:dyDescent="0.2">
      <c r="A6" s="32">
        <v>2100</v>
      </c>
      <c r="B6" t="s">
        <v>801</v>
      </c>
      <c r="C6" s="245">
        <f t="shared" si="0"/>
        <v>3268684.2699999996</v>
      </c>
      <c r="D6" s="20">
        <f>'DOE25'!L202+'DOE25'!L220+'DOE25'!L238-F6-G6</f>
        <v>3234714.8599999994</v>
      </c>
      <c r="E6" s="243"/>
      <c r="F6" s="255">
        <f>'DOE25'!J202+'DOE25'!J220+'DOE25'!J238</f>
        <v>27813.21</v>
      </c>
      <c r="G6" s="53">
        <f>'DOE25'!K202+'DOE25'!K220+'DOE25'!K238</f>
        <v>6156.2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2311399.1</v>
      </c>
      <c r="D7" s="20">
        <f>'DOE25'!L203+'DOE25'!L221+'DOE25'!L239-F7-G7</f>
        <v>1693295.1400000001</v>
      </c>
      <c r="E7" s="243"/>
      <c r="F7" s="255">
        <f>'DOE25'!J203+'DOE25'!J221+'DOE25'!J239</f>
        <v>447821.53</v>
      </c>
      <c r="G7" s="53">
        <f>'DOE25'!K203+'DOE25'!K221+'DOE25'!K239</f>
        <v>170282.43</v>
      </c>
      <c r="H7" s="259"/>
    </row>
    <row r="8" spans="1:9" x14ac:dyDescent="0.2">
      <c r="A8" s="32">
        <v>2300</v>
      </c>
      <c r="B8" t="s">
        <v>802</v>
      </c>
      <c r="C8" s="245">
        <f t="shared" si="0"/>
        <v>964845.13</v>
      </c>
      <c r="D8" s="243"/>
      <c r="E8" s="20">
        <f>'DOE25'!L204+'DOE25'!L222+'DOE25'!L240-F8-G8-D9-D11</f>
        <v>925024.93</v>
      </c>
      <c r="F8" s="255">
        <f>'DOE25'!J204+'DOE25'!J222+'DOE25'!J240</f>
        <v>0</v>
      </c>
      <c r="G8" s="53">
        <f>'DOE25'!K204+'DOE25'!K222+'DOE25'!K240</f>
        <v>39820.199999999997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30975.439999999999</v>
      </c>
      <c r="D9" s="244">
        <v>30975.439999999999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256604.63999999998</v>
      </c>
      <c r="D11" s="244">
        <f>191178.83+65425.81</f>
        <v>256604.63999999998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1707032.9299999997</v>
      </c>
      <c r="D12" s="20">
        <f>'DOE25'!L205+'DOE25'!L223+'DOE25'!L241-F12-G12</f>
        <v>1609384.7099999997</v>
      </c>
      <c r="E12" s="243"/>
      <c r="F12" s="255">
        <f>'DOE25'!J205+'DOE25'!J223+'DOE25'!J241</f>
        <v>64608.789999999994</v>
      </c>
      <c r="G12" s="53">
        <f>'DOE25'!K205+'DOE25'!K223+'DOE25'!K241</f>
        <v>33039.43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618582.92999999993</v>
      </c>
      <c r="D13" s="243"/>
      <c r="E13" s="20">
        <f>'DOE25'!L206+'DOE25'!L224+'DOE25'!L242-F13-G13</f>
        <v>618582.92999999993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3635687.2700000005</v>
      </c>
      <c r="D14" s="20">
        <f>'DOE25'!L207+'DOE25'!L225+'DOE25'!L243-F14-G14</f>
        <v>3491020.7300000004</v>
      </c>
      <c r="E14" s="243"/>
      <c r="F14" s="255">
        <f>'DOE25'!J207+'DOE25'!J225+'DOE25'!J243</f>
        <v>144666.54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2377418.02</v>
      </c>
      <c r="D15" s="20">
        <f>'DOE25'!L208+'DOE25'!L226+'DOE25'!L244-F15-G15</f>
        <v>2377418.02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116688.76000000001</v>
      </c>
      <c r="D16" s="243"/>
      <c r="E16" s="20">
        <f>'DOE25'!L209+'DOE25'!L227+'DOE25'!L245-F16-G16</f>
        <v>114014.51000000001</v>
      </c>
      <c r="F16" s="255">
        <f>'DOE25'!J209+'DOE25'!J227+'DOE25'!J245</f>
        <v>0</v>
      </c>
      <c r="G16" s="53">
        <f>'DOE25'!K209+'DOE25'!K227+'DOE25'!K245</f>
        <v>2674.25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3515440.3</v>
      </c>
      <c r="D25" s="243"/>
      <c r="E25" s="243"/>
      <c r="F25" s="258"/>
      <c r="G25" s="256"/>
      <c r="H25" s="257">
        <f>'DOE25'!L260+'DOE25'!L261+'DOE25'!L341+'DOE25'!L342</f>
        <v>3515440.3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491287.28000000009</v>
      </c>
      <c r="D29" s="20">
        <f>'DOE25'!L358+'DOE25'!L359+'DOE25'!L360-'DOE25'!I367-F29-G29</f>
        <v>433316.7900000001</v>
      </c>
      <c r="E29" s="243"/>
      <c r="F29" s="255">
        <f>'DOE25'!J358+'DOE25'!J359+'DOE25'!J360</f>
        <v>57227.990000000005</v>
      </c>
      <c r="G29" s="53">
        <f>'DOE25'!K358+'DOE25'!K359+'DOE25'!K360</f>
        <v>742.5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720176.36</v>
      </c>
      <c r="D31" s="20">
        <f>'DOE25'!L290+'DOE25'!L309+'DOE25'!L328+'DOE25'!L333+'DOE25'!L334+'DOE25'!L335-F31-G31</f>
        <v>702218.81</v>
      </c>
      <c r="E31" s="243"/>
      <c r="F31" s="255">
        <f>'DOE25'!J290+'DOE25'!J309+'DOE25'!J328+'DOE25'!J333+'DOE25'!J334+'DOE25'!J335</f>
        <v>6802.44</v>
      </c>
      <c r="G31" s="53">
        <f>'DOE25'!K290+'DOE25'!K309+'DOE25'!K328+'DOE25'!K333+'DOE25'!K334+'DOE25'!K335</f>
        <v>11155.11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37632772.860000014</v>
      </c>
      <c r="E33" s="246">
        <f>SUM(E5:E31)</f>
        <v>1657622.3699999999</v>
      </c>
      <c r="F33" s="246">
        <f>SUM(F5:F31)</f>
        <v>959190.24</v>
      </c>
      <c r="G33" s="246">
        <f>SUM(G5:G31)</f>
        <v>400343.43</v>
      </c>
      <c r="H33" s="246">
        <f>SUM(H5:H31)</f>
        <v>3515440.3</v>
      </c>
    </row>
    <row r="35" spans="2:8" ht="12" thickBot="1" x14ac:dyDescent="0.25">
      <c r="B35" s="253" t="s">
        <v>847</v>
      </c>
      <c r="D35" s="254">
        <f>E33</f>
        <v>1657622.3699999999</v>
      </c>
      <c r="E35" s="249"/>
    </row>
    <row r="36" spans="2:8" ht="12" thickTop="1" x14ac:dyDescent="0.2">
      <c r="B36" t="s">
        <v>815</v>
      </c>
      <c r="D36" s="20">
        <f>D33</f>
        <v>37632772.860000014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Windham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3611825.71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89617.919999999998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223706.83</v>
      </c>
      <c r="E11" s="95">
        <f>'DOE25'!H12</f>
        <v>50635.62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30791.53</v>
      </c>
      <c r="D12" s="95">
        <f>'DOE25'!G13</f>
        <v>8577.01</v>
      </c>
      <c r="E12" s="95">
        <f>'DOE25'!H13</f>
        <v>127328.28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12504.06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28598.5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2348</v>
      </c>
      <c r="E16" s="95">
        <f>'DOE25'!H17</f>
        <v>665.4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3655121.3</v>
      </c>
      <c r="D18" s="41">
        <f>SUM(D8:D17)</f>
        <v>263230.33999999997</v>
      </c>
      <c r="E18" s="41">
        <f>SUM(E8:E17)</f>
        <v>178629.3</v>
      </c>
      <c r="F18" s="41">
        <f>SUM(F8:F17)</f>
        <v>0</v>
      </c>
      <c r="G18" s="41">
        <f>SUM(G8:G17)</f>
        <v>89617.919999999998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274342.44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21115.599999999999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31656.67</v>
      </c>
      <c r="D23" s="95">
        <f>'DOE25'!G24</f>
        <v>42.4</v>
      </c>
      <c r="E23" s="95">
        <f>'DOE25'!H24</f>
        <v>12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2800</v>
      </c>
      <c r="D29" s="95">
        <f>'DOE25'!G30</f>
        <v>31329.93</v>
      </c>
      <c r="E29" s="95">
        <f>'DOE25'!H30</f>
        <v>65573.279999999999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329914.70999999996</v>
      </c>
      <c r="D31" s="41">
        <f>SUM(D21:D30)</f>
        <v>31372.33</v>
      </c>
      <c r="E31" s="41">
        <f>SUM(E21:E30)</f>
        <v>65585.279999999999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28598.5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203259.51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508296.74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113044.02</v>
      </c>
      <c r="F47" s="95">
        <f>'DOE25'!I48</f>
        <v>0</v>
      </c>
      <c r="G47" s="95">
        <f>'DOE25'!J48</f>
        <v>89617.919999999998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2816909.85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3325206.59</v>
      </c>
      <c r="D50" s="41">
        <f>SUM(D34:D49)</f>
        <v>231858.01</v>
      </c>
      <c r="E50" s="41">
        <f>SUM(E34:E49)</f>
        <v>113044.02</v>
      </c>
      <c r="F50" s="41">
        <f>SUM(F34:F49)</f>
        <v>0</v>
      </c>
      <c r="G50" s="41">
        <f>SUM(G34:G49)</f>
        <v>89617.919999999998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3655121.3</v>
      </c>
      <c r="D51" s="41">
        <f>D50+D31</f>
        <v>263230.34000000003</v>
      </c>
      <c r="E51" s="41">
        <f>E50+E31</f>
        <v>178629.3</v>
      </c>
      <c r="F51" s="41">
        <f>F50+F31</f>
        <v>0</v>
      </c>
      <c r="G51" s="41">
        <f>G50+G31</f>
        <v>89617.919999999998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34736985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22500</v>
      </c>
      <c r="D57" s="24" t="s">
        <v>289</v>
      </c>
      <c r="E57" s="95">
        <f>'DOE25'!H79</f>
        <v>75868.31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8.9700000000000006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763763.42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712381.30999999994</v>
      </c>
      <c r="D61" s="95">
        <f>SUM('DOE25'!G98:G110)</f>
        <v>8572.6200000000008</v>
      </c>
      <c r="E61" s="95">
        <f>SUM('DOE25'!H98:H110)</f>
        <v>113237.57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734881.30999999994</v>
      </c>
      <c r="D62" s="130">
        <f>SUM(D57:D61)</f>
        <v>772336.04</v>
      </c>
      <c r="E62" s="130">
        <f>SUM(E57:E61)</f>
        <v>189105.88</v>
      </c>
      <c r="F62" s="130">
        <f>SUM(F57:F61)</f>
        <v>0</v>
      </c>
      <c r="G62" s="130">
        <f>SUM(G57:G61)</f>
        <v>8.9700000000000006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35471866.310000002</v>
      </c>
      <c r="D63" s="22">
        <f>D56+D62</f>
        <v>772336.04</v>
      </c>
      <c r="E63" s="22">
        <f>E56+E62</f>
        <v>189105.88</v>
      </c>
      <c r="F63" s="22">
        <f>F56+F62</f>
        <v>0</v>
      </c>
      <c r="G63" s="22">
        <f>G56+G62</f>
        <v>8.9700000000000006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2791877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5066196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7858073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949486.4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330638.02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6557.6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1712.6</v>
      </c>
      <c r="D77" s="95">
        <f>SUM('DOE25'!G131:G135)</f>
        <v>10736.42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1288394.6200000001</v>
      </c>
      <c r="D78" s="130">
        <f>SUM(D72:D77)</f>
        <v>10736.42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9146467.620000001</v>
      </c>
      <c r="D81" s="130">
        <f>SUM(D79:D80)+D78+D70</f>
        <v>10736.42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239374.91</v>
      </c>
      <c r="D88" s="95">
        <f>SUM('DOE25'!G153:G161)</f>
        <v>164139.22</v>
      </c>
      <c r="E88" s="95">
        <f>SUM('DOE25'!H153:H161)</f>
        <v>602566.31000000006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239374.91</v>
      </c>
      <c r="D91" s="131">
        <f>SUM(D85:D90)</f>
        <v>164139.22</v>
      </c>
      <c r="E91" s="131">
        <f>SUM(E85:E90)</f>
        <v>602566.31000000006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77970.559999999998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1870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0.55000000000000004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77971.11</v>
      </c>
      <c r="D103" s="86">
        <f>SUM(D93:D102)</f>
        <v>0</v>
      </c>
      <c r="E103" s="86">
        <f>SUM(E93:E102)</f>
        <v>1870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44935679.950000003</v>
      </c>
      <c r="D104" s="86">
        <f>D63+D81+D91+D103</f>
        <v>947211.68</v>
      </c>
      <c r="E104" s="86">
        <f>E63+E81+E91+E103</f>
        <v>793542.19000000006</v>
      </c>
      <c r="F104" s="86">
        <f>F63+F81+F91+F103</f>
        <v>0</v>
      </c>
      <c r="G104" s="86">
        <f>G63+G81+G103</f>
        <v>8.9700000000000006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16376985.200000003</v>
      </c>
      <c r="D109" s="24" t="s">
        <v>289</v>
      </c>
      <c r="E109" s="95">
        <f>('DOE25'!L276)+('DOE25'!L295)+('DOE25'!L314)</f>
        <v>87489.410000000018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6719046.7400000002</v>
      </c>
      <c r="D110" s="24" t="s">
        <v>289</v>
      </c>
      <c r="E110" s="95">
        <f>('DOE25'!L277)+('DOE25'!L296)+('DOE25'!L315)</f>
        <v>443463.98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52945.32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1001569.5100000001</v>
      </c>
      <c r="D112" s="24" t="s">
        <v>289</v>
      </c>
      <c r="E112" s="95">
        <f>+('DOE25'!L279)+('DOE25'!L298)+('DOE25'!L317)</f>
        <v>88891.93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3186.84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24150546.770000007</v>
      </c>
      <c r="D115" s="86">
        <f>SUM(D109:D114)</f>
        <v>0</v>
      </c>
      <c r="E115" s="86">
        <f>SUM(E109:E114)</f>
        <v>623032.16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3268684.2699999996</v>
      </c>
      <c r="D118" s="24" t="s">
        <v>289</v>
      </c>
      <c r="E118" s="95">
        <f>+('DOE25'!L281)+('DOE25'!L300)+('DOE25'!L319)</f>
        <v>1665.95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2311399.1</v>
      </c>
      <c r="D119" s="24" t="s">
        <v>289</v>
      </c>
      <c r="E119" s="95">
        <f>+('DOE25'!L282)+('DOE25'!L301)+('DOE25'!L320)</f>
        <v>72728.25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1252425.21</v>
      </c>
      <c r="D120" s="24" t="s">
        <v>289</v>
      </c>
      <c r="E120" s="95">
        <f>+('DOE25'!L283)+('DOE25'!L302)+('DOE25'!L321)</f>
        <v>22750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1707032.9299999997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618582.92999999993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3635687.2700000005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2377418.02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116688.76000000001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895105.09000000008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15287918.489999996</v>
      </c>
      <c r="D128" s="86">
        <f>SUM(D118:D127)</f>
        <v>895105.09000000008</v>
      </c>
      <c r="E128" s="86">
        <f>SUM(E118:E127)</f>
        <v>97144.2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2935000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580440.30000000005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125900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1870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7.1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1.87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-8.9699999999999989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3517310.3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125900</v>
      </c>
    </row>
    <row r="145" spans="1:9" ht="12.75" thickTop="1" thickBot="1" x14ac:dyDescent="0.25">
      <c r="A145" s="33" t="s">
        <v>244</v>
      </c>
      <c r="C145" s="86">
        <f>(C115+C128+C144)</f>
        <v>42955775.560000002</v>
      </c>
      <c r="D145" s="86">
        <f>(D115+D128+D144)</f>
        <v>895105.09000000008</v>
      </c>
      <c r="E145" s="86">
        <f>(E115+E128+E144)</f>
        <v>720176.36</v>
      </c>
      <c r="F145" s="86">
        <f>(F115+F128+F144)</f>
        <v>0</v>
      </c>
      <c r="G145" s="86">
        <f>(G115+G128+G144)</f>
        <v>125900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06/05</v>
      </c>
      <c r="C152" s="152" t="str">
        <f>'DOE25'!G491</f>
        <v>07/2008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07/25</v>
      </c>
      <c r="C153" s="152" t="str">
        <f>'DOE25'!G492</f>
        <v>08/2018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42753296</v>
      </c>
      <c r="C154" s="137">
        <f>'DOE25'!G493</f>
        <v>4000000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3.69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22120000</v>
      </c>
      <c r="C156" s="137">
        <f>'DOE25'!G495</f>
        <v>1865000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23985000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2580000</v>
      </c>
      <c r="C158" s="137">
        <f>'DOE25'!G497</f>
        <v>375000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2955000</v>
      </c>
    </row>
    <row r="159" spans="1:9" x14ac:dyDescent="0.2">
      <c r="A159" s="22" t="s">
        <v>35</v>
      </c>
      <c r="B159" s="137">
        <f>'DOE25'!F498</f>
        <v>19305000</v>
      </c>
      <c r="C159" s="137">
        <f>'DOE25'!G498</f>
        <v>1490000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20795000</v>
      </c>
    </row>
    <row r="160" spans="1:9" x14ac:dyDescent="0.2">
      <c r="A160" s="22" t="s">
        <v>36</v>
      </c>
      <c r="B160" s="137">
        <f>'DOE25'!F499</f>
        <v>3603037.5</v>
      </c>
      <c r="C160" s="137">
        <f>'DOE25'!G499</f>
        <v>155925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3758962.5</v>
      </c>
    </row>
    <row r="161" spans="1:7" x14ac:dyDescent="0.2">
      <c r="A161" s="22" t="s">
        <v>37</v>
      </c>
      <c r="B161" s="137">
        <f>'DOE25'!F500</f>
        <v>22908037.5</v>
      </c>
      <c r="C161" s="137">
        <f>'DOE25'!G500</f>
        <v>1645925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24553962.5</v>
      </c>
    </row>
    <row r="162" spans="1:7" x14ac:dyDescent="0.2">
      <c r="A162" s="22" t="s">
        <v>38</v>
      </c>
      <c r="B162" s="137">
        <f>'DOE25'!F501</f>
        <v>2560000</v>
      </c>
      <c r="C162" s="137">
        <f>'DOE25'!G501</f>
        <v>375000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2935000</v>
      </c>
    </row>
    <row r="163" spans="1:7" x14ac:dyDescent="0.2">
      <c r="A163" s="22" t="s">
        <v>39</v>
      </c>
      <c r="B163" s="137">
        <f>'DOE25'!F502</f>
        <v>548775</v>
      </c>
      <c r="C163" s="137">
        <f>'DOE25'!G502</f>
        <v>68381.25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617156.25</v>
      </c>
    </row>
    <row r="164" spans="1:7" x14ac:dyDescent="0.2">
      <c r="A164" s="22" t="s">
        <v>246</v>
      </c>
      <c r="B164" s="137">
        <f>'DOE25'!F503</f>
        <v>3108775</v>
      </c>
      <c r="C164" s="137">
        <f>'DOE25'!G503</f>
        <v>443381.25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3552156.25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Windham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12575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13449</v>
      </c>
    </row>
    <row r="7" spans="1:4" x14ac:dyDescent="0.2">
      <c r="B7" t="s">
        <v>705</v>
      </c>
      <c r="C7" s="179">
        <f>IF('DOE25'!I665+'DOE25'!I670=0,0,ROUND('DOE25'!I672,0))</f>
        <v>12827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16464475</v>
      </c>
      <c r="D10" s="182">
        <f>ROUND((C10/$C$28)*100,1)</f>
        <v>40.299999999999997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7162511</v>
      </c>
      <c r="D11" s="182">
        <f>ROUND((C11/$C$28)*100,1)</f>
        <v>17.5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52945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1090461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3270350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2384127</v>
      </c>
      <c r="D16" s="182">
        <f t="shared" si="0"/>
        <v>5.8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1391864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1707033</v>
      </c>
      <c r="D18" s="182">
        <f t="shared" si="0"/>
        <v>4.2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618583</v>
      </c>
      <c r="D19" s="182">
        <f t="shared" si="0"/>
        <v>1.5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3635687</v>
      </c>
      <c r="D20" s="182">
        <f t="shared" si="0"/>
        <v>8.9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2377418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3187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580440</v>
      </c>
      <c r="D25" s="182">
        <f t="shared" si="0"/>
        <v>1.4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122768.95999999996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40861849.960000001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40861849.960000001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2935000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34736985</v>
      </c>
      <c r="D35" s="182">
        <f t="shared" ref="D35:D40" si="1">ROUND((C35/$C$41)*100,1)</f>
        <v>75.7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1001966.7200000063</v>
      </c>
      <c r="D36" s="182">
        <f t="shared" si="1"/>
        <v>2.2000000000000002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7858073</v>
      </c>
      <c r="D37" s="182">
        <f t="shared" si="1"/>
        <v>17.100000000000001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1299131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1006080</v>
      </c>
      <c r="D39" s="182">
        <f t="shared" si="1"/>
        <v>2.2000000000000002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45902235.720000006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B2" sqref="B2"/>
      <selection pane="bottomLeft" activeCell="A5" sqref="A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Windham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>
        <v>20</v>
      </c>
      <c r="B4" s="219">
        <v>9</v>
      </c>
      <c r="C4" s="286" t="s">
        <v>915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74">
        <v>3</v>
      </c>
      <c r="B5" s="275">
        <v>24</v>
      </c>
      <c r="C5" s="286" t="s">
        <v>917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6:M6"/>
    <mergeCell ref="C7:M7"/>
    <mergeCell ref="C8:M8"/>
    <mergeCell ref="C13:M13"/>
    <mergeCell ref="C9:M9"/>
    <mergeCell ref="C10:M10"/>
    <mergeCell ref="C11:M11"/>
    <mergeCell ref="C12:M12"/>
    <mergeCell ref="C5:M5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2015-10-14T14:19:08Z</cp:lastPrinted>
  <dcterms:created xsi:type="dcterms:W3CDTF">1997-12-04T19:04:30Z</dcterms:created>
  <dcterms:modified xsi:type="dcterms:W3CDTF">2015-12-08T13:50:29Z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