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035" yWindow="315" windowWidth="19950" windowHeight="110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1" i="1" l="1"/>
  <c r="I523" i="1" l="1"/>
  <c r="H523" i="1"/>
  <c r="G523" i="1"/>
  <c r="K533" i="1"/>
  <c r="J523" i="1"/>
  <c r="F523" i="1"/>
  <c r="J604" i="1" l="1"/>
  <c r="C10" i="12" l="1"/>
  <c r="I233" i="1"/>
  <c r="C12" i="12" l="1"/>
  <c r="C11" i="12"/>
  <c r="C39" i="12"/>
  <c r="C19" i="12"/>
  <c r="C21" i="12"/>
  <c r="C20" i="12"/>
  <c r="G533" i="1"/>
  <c r="G239" i="1"/>
  <c r="G236" i="1"/>
  <c r="K245" i="1"/>
  <c r="F502" i="1"/>
  <c r="H583" i="1"/>
  <c r="H582" i="1"/>
  <c r="F497" i="1" l="1"/>
  <c r="B37" i="12"/>
  <c r="B21" i="12"/>
  <c r="B20" i="12"/>
  <c r="B19" i="12"/>
  <c r="B12" i="12"/>
  <c r="B11" i="12"/>
  <c r="B10" i="12"/>
  <c r="F533" i="1"/>
  <c r="H243" i="1"/>
  <c r="K236" i="1"/>
  <c r="J243" i="1"/>
  <c r="J239" i="1"/>
  <c r="H244" i="1"/>
  <c r="I239" i="1"/>
  <c r="I238" i="1"/>
  <c r="I236" i="1"/>
  <c r="H240" i="1"/>
  <c r="H239" i="1"/>
  <c r="H238" i="1"/>
  <c r="F236" i="1"/>
  <c r="F243" i="1"/>
  <c r="F239" i="1"/>
  <c r="F238" i="1"/>
  <c r="F118" i="1"/>
  <c r="F110" i="1"/>
  <c r="F101" i="1"/>
  <c r="F57" i="1"/>
  <c r="F29" i="1"/>
  <c r="F9" i="1"/>
  <c r="G315" i="1"/>
  <c r="G314" i="1"/>
  <c r="K321" i="1"/>
  <c r="G321" i="1"/>
  <c r="I314" i="1"/>
  <c r="F314" i="1"/>
  <c r="G320" i="1"/>
  <c r="F320" i="1"/>
  <c r="G317" i="1"/>
  <c r="I315" i="1"/>
  <c r="H315" i="1"/>
  <c r="F315" i="1"/>
  <c r="G333" i="1"/>
  <c r="F333" i="1"/>
  <c r="H159" i="1"/>
  <c r="H157" i="1"/>
  <c r="H155" i="1"/>
  <c r="H154" i="1"/>
  <c r="G440" i="1"/>
  <c r="H367" i="1"/>
  <c r="I360" i="1"/>
  <c r="H360" i="1"/>
  <c r="F360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51" i="1"/>
  <c r="I662" i="1"/>
  <c r="L290" i="1"/>
  <c r="F660" i="1" s="1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F667" i="1"/>
  <c r="J622" i="1" l="1"/>
  <c r="C115" i="2"/>
  <c r="C81" i="2"/>
  <c r="C62" i="2"/>
  <c r="C63" i="2" s="1"/>
  <c r="E33" i="13"/>
  <c r="D35" i="13" s="1"/>
  <c r="J64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145" i="2" l="1"/>
  <c r="C104" i="2"/>
  <c r="G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41" i="10" l="1"/>
  <c r="D38" i="10" s="1"/>
  <c r="D37" i="10" l="1"/>
  <c r="D36" i="10"/>
  <c r="D35" i="10"/>
  <c r="D40" i="10"/>
  <c r="D39" i="10"/>
  <c r="D41" i="10" l="1"/>
  <c r="C18" i="12"/>
  <c r="A22" i="12" s="1"/>
  <c r="L315" i="1"/>
  <c r="C11" i="10" s="1"/>
  <c r="G328" i="1"/>
  <c r="G338" i="1" s="1"/>
  <c r="G352" i="1" s="1"/>
  <c r="E110" i="2" l="1"/>
  <c r="E115" i="2" s="1"/>
  <c r="E145" i="2" s="1"/>
  <c r="C28" i="10"/>
  <c r="L328" i="1"/>
  <c r="D23" i="10" l="1"/>
  <c r="D27" i="10"/>
  <c r="D17" i="10"/>
  <c r="D13" i="10"/>
  <c r="D26" i="10"/>
  <c r="D20" i="10"/>
  <c r="D25" i="10"/>
  <c r="D24" i="10"/>
  <c r="D10" i="10"/>
  <c r="D21" i="10"/>
  <c r="C30" i="10"/>
  <c r="D18" i="10"/>
  <c r="D12" i="10"/>
  <c r="D22" i="10"/>
  <c r="D16" i="10"/>
  <c r="D15" i="10"/>
  <c r="D19" i="10"/>
  <c r="D31" i="13"/>
  <c r="L338" i="1"/>
  <c r="L352" i="1" s="1"/>
  <c r="G633" i="1" s="1"/>
  <c r="H660" i="1"/>
  <c r="D11" i="10"/>
  <c r="I660" i="1" l="1"/>
  <c r="I664" i="1" s="1"/>
  <c r="H664" i="1"/>
  <c r="C31" i="13"/>
  <c r="D33" i="13"/>
  <c r="D36" i="13" s="1"/>
  <c r="J633" i="1"/>
  <c r="H656" i="1"/>
  <c r="D28" i="10"/>
  <c r="H667" i="1" l="1"/>
  <c r="H672" i="1"/>
  <c r="C6" i="10" s="1"/>
  <c r="I667" i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<sst xmlns="http://schemas.openxmlformats.org/spreadsheetml/2006/main" count="3960" uniqueCount="918">
  <si>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</si>
  <si>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</si>
  <si>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</si>
  <si>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</si>
  <si>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</si>
  <si>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</si>
  <si>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</si>
  <si>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</si>
  <si>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</si>
  <si>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</si>
  <si>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</si>
  <si>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</si>
  <si>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</si>
  <si>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</si>
  <si>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</si>
  <si>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</si>
  <si>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</si>
  <si>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</si>
  <si>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</si>
  <si>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</si>
  <si>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</si>
  <si>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</si>
  <si>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</si>
  <si>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</si>
  <si>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</si>
  <si>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</si>
  <si>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</si>
  <si>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</si>
  <si>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</si>
  <si>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</si>
  <si>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</si>
  <si>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</si>
  <si>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</si>
  <si>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</si>
  <si>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</si>
  <si>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</si>
  <si>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</si>
  <si>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</si>
  <si>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</si>
  <si>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</si>
  <si>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</si>
  <si>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</si>
  <si>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</si>
  <si>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</si>
  <si>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</si>
  <si>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</si>
  <si>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</si>
  <si>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</si>
  <si>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</si>
  <si>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</si>
  <si>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</si>
  <si>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</si>
  <si>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</si>
  <si>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</si>
  <si>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</si>
  <si>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</si>
  <si>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</si>
  <si>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</si>
  <si>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</si>
  <si>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</si>
  <si>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</si>
  <si>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</si>
  <si>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</si>
  <si>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</si>
  <si>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</si>
  <si>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</si>
  <si>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</si>
  <si>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</si>
  <si>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</si>
  <si>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</si>
  <si>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</si>
  <si>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</si>
  <si>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</si>
  <si>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</si>
  <si>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</si>
  <si>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</si>
  <si>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</si>
  <si>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</si>
  <si>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</si>
  <si>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</si>
  <si>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</si>
  <si>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</si>
  <si>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</si>
  <si>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</si>
  <si>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</si>
  <si>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</si>
  <si>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</si>
  <si>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</si>
  <si>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</si>
  <si>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</si>
  <si>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</si>
  <si>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</si>
  <si>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</si>
  <si>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</si>
  <si>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</si>
  <si>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</si>
  <si>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</si>
  <si>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</si>
  <si>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</si>
  <si>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</si>
  <si>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</si>
  <si>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</si>
  <si>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</si>
  <si>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</si>
  <si>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</si>
  <si>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</si>
  <si>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</si>
  <si>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</si>
  <si>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</si>
  <si>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</si>
  <si>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</si>
  <si>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</si>
  <si>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</si>
  <si>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</si>
  <si>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</si>
  <si>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</si>
  <si>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</si>
  <si>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</si>
  <si>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</si>
  <si>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</si>
  <si>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</si>
  <si>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</si>
  <si>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</si>
  <si>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</si>
  <si>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</si>
  <si>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</si>
  <si>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</si>
  <si>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</si>
  <si>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</si>
  <si>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</si>
  <si>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</si>
  <si>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</si>
  <si>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</si>
  <si>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</si>
  <si>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</si>
  <si>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</si>
  <si>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</si>
  <si>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</si>
  <si>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</si>
  <si>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</si>
  <si>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</si>
  <si>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</si>
  <si>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</si>
  <si>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</si>
  <si>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</si>
  <si>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</si>
  <si>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</si>
  <si>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</si>
  <si>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</si>
  <si>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</si>
  <si>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</si>
  <si>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</si>
  <si>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</si>
  <si>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</si>
  <si>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</si>
  <si>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</si>
  <si>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</si>
  <si>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</si>
  <si>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</si>
  <si>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</si>
  <si>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</si>
  <si>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</si>
  <si>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</si>
  <si>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</si>
  <si>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</si>
  <si>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</si>
  <si>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</si>
  <si>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</si>
  <si>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</si>
  <si>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</si>
  <si>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</si>
  <si>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</si>
  <si>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</si>
  <si>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</si>
  <si>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</si>
  <si>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</si>
  <si>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</si>
  <si>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</si>
  <si>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</si>
  <si>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</si>
  <si>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</si>
  <si>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</si>
  <si>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</si>
  <si>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</si>
  <si>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</si>
  <si>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</si>
  <si>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</si>
  <si>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</si>
  <si>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</si>
  <si>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</si>
  <si>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</si>
  <si>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</si>
  <si>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</si>
  <si>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</si>
  <si>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</si>
  <si>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</si>
  <si>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</si>
  <si>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</si>
  <si>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</si>
  <si>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</si>
  <si>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</si>
  <si>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</si>
  <si>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</si>
  <si>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</si>
  <si>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</si>
  <si>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</si>
  <si>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</si>
  <si>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</si>
  <si>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</si>
  <si>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</si>
  <si>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</si>
  <si>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</si>
  <si>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</si>
  <si>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</si>
  <si>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</si>
  <si>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</si>
  <si>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</si>
  <si>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</si>
  <si>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</si>
  <si>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</si>
  <si>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</si>
  <si>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</si>
  <si>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</si>
  <si>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</si>
  <si>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</si>
  <si>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</si>
  <si>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</si>
  <si>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</si>
  <si>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</si>
  <si>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</si>
  <si>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</si>
  <si>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</si>
  <si>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</si>
  <si>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</si>
  <si>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</si>
  <si>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</si>
  <si>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</si>
  <si>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</si>
  <si>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</si>
  <si>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</si>
  <si>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</si>
  <si>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</si>
  <si>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</si>
  <si>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</si>
  <si>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</si>
  <si>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</si>
  <si>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</si>
  <si>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</si>
  <si>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</si>
  <si>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</si>
  <si>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</si>
  <si>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</si>
  <si>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</si>
  <si>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</si>
  <si>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</si>
  <si>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</si>
  <si>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</si>
  <si>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</si>
  <si>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</si>
  <si>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</si>
  <si>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</si>
  <si>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</si>
  <si>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</si>
  <si>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</si>
  <si>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</si>
  <si>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</si>
  <si>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</si>
  <si>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</si>
  <si>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</si>
  <si>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</si>
  <si>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</si>
  <si>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</si>
  <si>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</si>
  <si>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</si>
  <si>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</si>
  <si>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</si>
  <si>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</si>
  <si>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</si>
  <si>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</si>
  <si>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</si>
  <si>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</si>
  <si>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</si>
  <si>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</si>
  <si>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</si>
  <si>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</si>
  <si>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</si>
  <si>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</si>
  <si>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</si>
  <si>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</si>
  <si>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</si>
  <si>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</si>
  <si>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</si>
  <si>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</si>
  <si>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</si>
  <si>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</si>
  <si>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</si>
  <si>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</si>
  <si>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</si>
  <si>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</si>
  <si>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</si>
  <si>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</si>
  <si>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</si>
  <si>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</si>
  <si>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</si>
  <si>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</si>
  <si>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</si>
  <si>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</si>
  <si>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</si>
  <si>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</si>
  <si>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</si>
  <si>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</si>
  <si>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</si>
  <si>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</si>
  <si>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</si>
  <si>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</si>
  <si>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</si>
  <si>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</si>
  <si>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</si>
  <si>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</si>
  <si>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</si>
  <si>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</si>
  <si>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</si>
  <si>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</si>
  <si>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</si>
  <si>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</si>
  <si>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</si>
  <si>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</si>
  <si>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</si>
  <si>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</si>
  <si>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</si>
  <si>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</si>
  <si>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</si>
  <si>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</si>
  <si>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</si>
  <si>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</si>
  <si>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</si>
  <si>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</si>
  <si>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</si>
  <si>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</si>
  <si>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</si>
  <si>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</si>
  <si>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</si>
  <si>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</si>
  <si>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</si>
  <si>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</si>
  <si>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</si>
  <si>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</si>
  <si>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</si>
  <si>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</si>
  <si>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</si>
  <si>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</si>
  <si>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</si>
  <si>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</si>
  <si>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</si>
  <si>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</si>
  <si>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</si>
  <si>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</si>
  <si>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</si>
  <si>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</si>
  <si>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</si>
  <si>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</si>
  <si>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</si>
  <si>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</si>
  <si>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</si>
  <si>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</si>
  <si>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</si>
  <si>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</si>
  <si>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</si>
  <si>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</si>
  <si>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</si>
  <si>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</si>
  <si>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</si>
  <si>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</si>
  <si>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</si>
  <si>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</si>
  <si>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</si>
  <si>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</si>
  <si>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</si>
  <si>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</si>
  <si>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</si>
  <si>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</si>
  <si>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</si>
  <si>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</si>
  <si>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</si>
  <si>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</si>
  <si>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</si>
  <si>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</si>
  <si>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</si>
  <si>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</si>
  <si>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</si>
  <si>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</si>
  <si>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</si>
  <si>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</si>
  <si>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</si>
  <si>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</si>
  <si>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</si>
  <si>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</si>
  <si>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</si>
  <si>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</si>
  <si>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</si>
  <si>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</si>
  <si>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</si>
  <si>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</si>
  <si>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</si>
  <si>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</si>
  <si>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</si>
  <si>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</si>
  <si>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</si>
  <si>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</si>
  <si>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</si>
  <si>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</si>
  <si>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</si>
  <si>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</si>
  <si>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</si>
  <si>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</si>
  <si>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</si>
  <si>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</si>
  <si>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</si>
  <si>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</si>
  <si>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</si>
  <si>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</si>
  <si>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</si>
  <si>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</si>
  <si>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</si>
  <si>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</si>
  <si>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</si>
  <si>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</si>
  <si>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</si>
  <si>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</si>
  <si>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</si>
  <si>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</si>
  <si>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</si>
  <si>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</si>
  <si>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</si>
  <si>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</si>
  <si>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</si>
  <si>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</si>
  <si>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</si>
  <si>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</si>
  <si>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</si>
  <si>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</si>
  <si>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</si>
  <si>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</si>
  <si>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</si>
  <si>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</si>
  <si>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</si>
  <si>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</si>
  <si>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</si>
  <si>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</si>
  <si>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</si>
  <si>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</si>
  <si>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</si>
  <si>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</si>
  <si>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</si>
  <si>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</si>
  <si>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</si>
  <si>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</si>
  <si>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</si>
  <si>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</si>
  <si>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</si>
  <si>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</si>
  <si>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</si>
  <si>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</si>
  <si>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</si>
  <si>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</si>
  <si>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</si>
  <si>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</si>
  <si>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</si>
  <si>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</si>
  <si>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</si>
  <si>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</si>
  <si>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</si>
  <si>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</si>
  <si>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</si>
  <si>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</si>
  <si>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</si>
  <si>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</si>
  <si>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</si>
  <si>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</si>
  <si>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</si>
  <si>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</si>
  <si>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</si>
  <si>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</si>
  <si>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</si>
  <si>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</si>
  <si>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</si>
  <si>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</si>
  <si>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</si>
  <si>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</si>
  <si>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</si>
  <si>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</si>
  <si>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</si>
  <si>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</si>
  <si>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</si>
  <si>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</si>
  <si>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</si>
  <si>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</si>
  <si>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</si>
  <si>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</si>
  <si>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</si>
  <si>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</si>
  <si>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</si>
  <si>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</si>
  <si>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</si>
  <si>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</si>
  <si>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</si>
  <si>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</si>
  <si>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</si>
  <si>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</si>
  <si>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</si>
  <si>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</si>
  <si>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</si>
  <si>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</si>
  <si>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</si>
  <si>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</si>
  <si>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</si>
  <si>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</si>
  <si>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</si>
  <si>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</si>
  <si>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</si>
  <si>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</si>
  <si>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</si>
  <si>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</si>
  <si>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</si>
  <si>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</si>
  <si>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</si>
  <si>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</si>
  <si>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</si>
  <si>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</si>
  <si>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</si>
  <si>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</si>
  <si>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</si>
  <si>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</si>
  <si>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</si>
  <si>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</si>
  <si>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</si>
  <si>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</si>
  <si>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</si>
  <si>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</si>
  <si>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</si>
  <si>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</si>
  <si>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</si>
  <si>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</si>
  <si>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</si>
  <si>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</si>
  <si>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</si>
  <si>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</si>
  <si>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</si>
  <si>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</si>
  <si>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</si>
  <si>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</si>
  <si>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</si>
  <si>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</si>
  <si>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</si>
  <si>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</si>
  <si>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</si>
  <si>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</si>
  <si>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</si>
  <si>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</si>
  <si>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</si>
  <si>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</si>
  <si>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</si>
  <si>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</si>
  <si>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</si>
  <si>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</si>
  <si>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</si>
  <si>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</si>
  <si>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</si>
  <si>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</si>
  <si>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</si>
  <si>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</si>
  <si>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</si>
  <si>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</si>
  <si>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</si>
  <si>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</si>
  <si>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</si>
  <si>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</si>
  <si>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</si>
  <si>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</si>
  <si>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</si>
  <si>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</si>
  <si>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</si>
  <si>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</si>
  <si>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</si>
  <si>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</si>
  <si>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</si>
  <si>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</si>
  <si>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</si>
  <si>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</si>
  <si>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</si>
  <si>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</si>
  <si>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</si>
  <si>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</si>
  <si>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</si>
  <si>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</si>
  <si>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</si>
  <si>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</si>
  <si>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</si>
  <si>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</si>
  <si>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</si>
  <si>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</si>
  <si>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</si>
  <si>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</si>
  <si>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</si>
  <si>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</si>
  <si>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</si>
  <si>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</si>
  <si>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</si>
  <si>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</si>
  <si>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</si>
  <si>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</si>
  <si>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</si>
  <si>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</si>
  <si>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</si>
  <si>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</si>
  <si>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</si>
  <si>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</si>
  <si>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</si>
  <si>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</si>
  <si>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</si>
  <si>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</si>
  <si>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</si>
  <si>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</si>
  <si>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</si>
  <si>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</si>
  <si>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</si>
  <si>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</si>
  <si>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</si>
  <si>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</si>
  <si>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</si>
  <si>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</si>
  <si>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</si>
  <si>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</si>
  <si>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</si>
  <si>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</si>
  <si>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</si>
  <si>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</si>
  <si>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</si>
  <si>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</si>
  <si>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</si>
  <si>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</si>
  <si>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</si>
  <si>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</si>
  <si>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</si>
  <si>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</si>
  <si>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</si>
  <si>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</si>
  <si>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</si>
  <si>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</si>
  <si>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</si>
  <si>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</si>
  <si>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</si>
  <si>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</si>
  <si>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</si>
  <si>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</si>
  <si>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</si>
  <si>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</si>
  <si>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</si>
  <si>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</si>
  <si>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</si>
  <si>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</si>
  <si>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</si>
  <si>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</si>
  <si>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</si>
  <si>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</si>
  <si>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</si>
  <si>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</si>
  <si>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</si>
  <si>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</si>
  <si>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</si>
  <si>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</si>
  <si>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</si>
  <si>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</si>
  <si>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</si>
  <si>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</si>
  <si>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</si>
  <si>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</si>
  <si>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</si>
  <si>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</si>
  <si>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</si>
  <si>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</si>
  <si>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</si>
  <si>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</si>
  <si>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</si>
  <si>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</si>
  <si>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</si>
  <si>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</si>
  <si>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</si>
  <si>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</si>
  <si>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</si>
  <si>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</si>
  <si>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</si>
  <si>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</si>
  <si>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</si>
  <si>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</si>
  <si>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</si>
  <si>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</si>
  <si>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</si>
  <si>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</si>
  <si>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</si>
  <si>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</si>
  <si>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</si>
  <si>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</si>
  <si>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</si>
  <si>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</si>
  <si>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</si>
  <si>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</si>
  <si>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</si>
  <si>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</si>
  <si>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</si>
  <si>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</si>
  <si>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</si>
  <si>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</si>
  <si>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</si>
  <si>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</si>
  <si>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</si>
  <si>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</si>
  <si>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</si>
  <si>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</si>
  <si>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</si>
  <si>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</si>
  <si>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</si>
  <si>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</si>
  <si>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</si>
  <si>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</si>
  <si>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</si>
  <si>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</si>
  <si>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</si>
  <si>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</si>
  <si>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</si>
  <si>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</si>
  <si>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</si>
  <si>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</si>
  <si>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</si>
  <si>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</si>
  <si>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</si>
  <si>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</si>
  <si>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</si>
  <si>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</si>
  <si>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</si>
  <si>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</si>
  <si>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</si>
  <si>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</si>
  <si>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</si>
  <si>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</si>
  <si>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</si>
  <si>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</si>
  <si>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</si>
  <si>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</si>
  <si>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</si>
  <si>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</si>
  <si>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</si>
  <si>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</si>
  <si>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</si>
  <si>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</si>
  <si>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</si>
  <si>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</si>
  <si>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</si>
  <si>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</si>
  <si>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</si>
  <si>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</si>
  <si>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</si>
  <si>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</si>
  <si>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</si>
  <si>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</si>
  <si>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</si>
  <si>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</si>
  <si>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</si>
  <si>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</si>
  <si>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</si>
  <si>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</si>
  <si>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</si>
  <si>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</si>
  <si>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</si>
  <si>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</si>
  <si>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</si>
  <si>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</si>
  <si>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</si>
  <si>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</si>
  <si>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</si>
  <si>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</si>
  <si>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</si>
  <si>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</si>
  <si>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</si>
  <si>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</si>
  <si>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</si>
  <si>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</si>
  <si>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</si>
  <si>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</si>
  <si>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</si>
  <si>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</si>
  <si>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</si>
  <si>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</si>
  <si>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</si>
  <si>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</si>
  <si>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</si>
  <si>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</si>
  <si>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</si>
  <si>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</si>
  <si>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</si>
  <si>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</si>
  <si>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</si>
  <si>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</si>
  <si>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</si>
  <si>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</si>
  <si>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</si>
  <si>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</si>
  <si>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</si>
  <si>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</si>
  <si>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</si>
  <si>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</si>
  <si>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</si>
  <si>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</si>
  <si>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</si>
  <si>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</si>
  <si>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</si>
  <si>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</si>
  <si>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</si>
  <si>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</si>
  <si>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</si>
  <si>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</si>
  <si>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</si>
  <si>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</si>
  <si>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</si>
  <si>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</si>
  <si>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</si>
  <si>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</si>
  <si>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</si>
  <si>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</si>
  <si>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</si>
  <si>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</si>
  <si>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</si>
  <si>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</si>
  <si>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</si>
  <si>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</si>
  <si>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</si>
  <si>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</si>
  <si>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</si>
  <si>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</si>
  <si>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</si>
  <si>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</si>
  <si>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</si>
  <si>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</si>
  <si>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</si>
  <si>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</si>
  <si>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</si>
  <si>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</si>
  <si>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</si>
  <si>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</si>
  <si>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</si>
  <si>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</si>
  <si>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</si>
  <si>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</si>
  <si>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</si>
  <si>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</si>
  <si>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</si>
  <si>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</si>
  <si>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</si>
  <si>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</si>
  <si>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</si>
  <si>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</si>
  <si>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</si>
  <si>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</si>
  <si>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</si>
  <si>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</si>
  <si>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</si>
  <si>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</si>
  <si>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</si>
  <si>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</si>
  <si>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</si>
  <si>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</si>
  <si>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</si>
  <si>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</si>
  <si>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</si>
  <si>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</si>
  <si>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</si>
  <si>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</si>
  <si>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</si>
  <si>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</si>
  <si>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</si>
  <si>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</si>
  <si>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</si>
  <si>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</si>
  <si>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</si>
  <si>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</si>
  <si>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</si>
  <si>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</si>
  <si>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</si>
  <si>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</si>
  <si>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</si>
  <si>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</si>
  <si>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</si>
  <si>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</si>
  <si>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</si>
  <si>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</si>
  <si>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</si>
  <si>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</si>
  <si>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</si>
  <si>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</si>
  <si>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</si>
  <si>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</si>
  <si>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</si>
  <si>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</si>
  <si>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</si>
  <si>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</si>
  <si>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</si>
  <si>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</si>
  <si>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</si>
  <si>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</si>
  <si>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</si>
  <si>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</si>
  <si>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WINNACUNNET</t>
  </si>
  <si>
    <t>(FOOD SERVICE) This revenue was for the sale of a piece of kitchen equipment to another school district</t>
  </si>
  <si>
    <t xml:space="preserve">(GEN FUND) Revnue is comprised of $196649.16 LGC Refund, $7,700 Parking Fees, $159,270.98 Town of Hampton Falls </t>
  </si>
  <si>
    <t xml:space="preserve">    Impact Fees and $22,866 Work Comp Holiday Premium, misc other revnue</t>
  </si>
  <si>
    <t>Revenue is FEMA disaster reimburse for winter 2015 snow storm.</t>
  </si>
  <si>
    <t>Aug 2004</t>
  </si>
  <si>
    <t>Aug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</si>
</sst>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581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991576.09+200</f>
        <v>991776.09</v>
      </c>
      <c r="G9" s="18">
        <v>200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34042.720000000001</v>
      </c>
      <c r="G10" s="18"/>
      <c r="H10" s="18"/>
      <c r="I10" s="18"/>
      <c r="J10" s="67">
        <f>SUM(I440)</f>
        <v>566185.5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44898.25</v>
      </c>
      <c r="G12" s="18">
        <v>58691.1</v>
      </c>
      <c r="H12" s="18">
        <v>106849.79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45765.29</v>
      </c>
      <c r="G13" s="18">
        <v>6221.99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35391.4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4527.47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1479.39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1153353.1399999999</v>
      </c>
      <c r="G19" s="41">
        <f>SUM(G9:G18)</f>
        <v>69640.56</v>
      </c>
      <c r="H19" s="41">
        <f>SUM(H9:H18)</f>
        <v>106849.79</v>
      </c>
      <c r="I19" s="41">
        <f>SUM(I9:I18)</f>
        <v>0</v>
      </c>
      <c r="J19" s="41">
        <f>SUM(J9:J18)</f>
        <v>566185.5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103589.35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91356.59</v>
      </c>
      <c r="G24" s="18">
        <v>192.75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70289.25</v>
      </c>
      <c r="G28" s="18">
        <v>3001.85</v>
      </c>
      <c r="H28" s="18">
        <v>3260.44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31614.35+7858.95</f>
        <v>39473.299999999996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9657.59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201119.13999999998</v>
      </c>
      <c r="G32" s="41">
        <f>SUM(G22:G31)</f>
        <v>12852.19</v>
      </c>
      <c r="H32" s="41">
        <f>SUM(H22:H31)</f>
        <v>106849.79000000001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4527.47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1479.39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52260.9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79949.279999999999</v>
      </c>
      <c r="G48" s="18"/>
      <c r="H48" s="18"/>
      <c r="I48" s="18"/>
      <c r="J48" s="13">
        <f>SUM(I459)</f>
        <v>566185.5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80164.509999999995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790640.82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952234</v>
      </c>
      <c r="G51" s="41">
        <f>SUM(G35:G50)</f>
        <v>56788.37</v>
      </c>
      <c r="H51" s="41">
        <f>SUM(H35:H50)</f>
        <v>0</v>
      </c>
      <c r="I51" s="41">
        <f>SUM(I35:I50)</f>
        <v>0</v>
      </c>
      <c r="J51" s="41">
        <f>SUM(J35:J50)</f>
        <v>566185.5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1153353.1399999999</v>
      </c>
      <c r="G52" s="41">
        <f>G51+G32</f>
        <v>69640.56</v>
      </c>
      <c r="H52" s="41">
        <f>H51+H32</f>
        <v>106849.79000000001</v>
      </c>
      <c r="I52" s="41">
        <f>I51+I32</f>
        <v>0</v>
      </c>
      <c r="J52" s="41">
        <f>J51+J32</f>
        <v>566185.5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1105070+2276400+5568316+7154042</f>
        <v>16103828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16103828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3800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6325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10125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1292.17</v>
      </c>
      <c r="G96" s="18"/>
      <c r="H96" s="18"/>
      <c r="I96" s="18"/>
      <c r="J96" s="18">
        <v>8421.2000000000007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379906.58+9370.31</f>
        <v>389276.89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31681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4925+6400</f>
        <v>11325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202448.56+196649.16+7700</f>
        <v>406797.72</v>
      </c>
      <c r="G110" s="18">
        <v>2500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451095.88999999996</v>
      </c>
      <c r="G111" s="41">
        <f>SUM(G96:G110)</f>
        <v>391776.89</v>
      </c>
      <c r="H111" s="41">
        <f>SUM(H96:H110)</f>
        <v>0</v>
      </c>
      <c r="I111" s="41">
        <f>SUM(I96:I110)</f>
        <v>0</v>
      </c>
      <c r="J111" s="41">
        <f>SUM(J96:J110)</f>
        <v>8421.2000000000007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16565048.890000001</v>
      </c>
      <c r="G112" s="41">
        <f>G60+G111</f>
        <v>391776.89</v>
      </c>
      <c r="H112" s="41">
        <f>H60+H79+H94+H111</f>
        <v>0</v>
      </c>
      <c r="I112" s="41">
        <f>I60+I111</f>
        <v>0</v>
      </c>
      <c r="J112" s="41">
        <f>J60+J111</f>
        <v>8421.2000000000007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526281.54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2253779+278239+658147+1191230</f>
        <v>4381395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4907676.54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657339.18000000005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290195.21000000002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18100.599999999999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4287.25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965634.99000000011</v>
      </c>
      <c r="G136" s="41">
        <f>SUM(G123:G135)</f>
        <v>4287.25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5873311.5300000003</v>
      </c>
      <c r="G140" s="41">
        <f>G121+SUM(G136:G137)</f>
        <v>4287.25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18158.85+177352.42</f>
        <v>195511.27000000002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6928.26+42754.7+40184.87</f>
        <v>89867.83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54185.37+20447.59</f>
        <v>74632.960000000006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102690.22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3910.05+8005.12+249093.39</f>
        <v>261008.56000000003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95278.49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25507.88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120786.37000000001</v>
      </c>
      <c r="G162" s="41">
        <f>SUM(G150:G161)</f>
        <v>102690.22</v>
      </c>
      <c r="H162" s="41">
        <f>SUM(H150:H161)</f>
        <v>621020.62000000011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17071.5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120786.37000000001</v>
      </c>
      <c r="G169" s="41">
        <f>G147+G162+SUM(G163:G168)</f>
        <v>119761.72</v>
      </c>
      <c r="H169" s="41">
        <f>H147+H162+SUM(H163:H168)</f>
        <v>621020.62000000011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22559146.790000003</v>
      </c>
      <c r="G193" s="47">
        <f>G112+G140+G169+G192</f>
        <v>515825.86</v>
      </c>
      <c r="H193" s="47">
        <f>H112+H140+H169+H192</f>
        <v>621020.62000000011</v>
      </c>
      <c r="I193" s="47">
        <f>I112+I140+I169+I192</f>
        <v>0</v>
      </c>
      <c r="J193" s="47">
        <f>J112+J140+J192</f>
        <v>48421.2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5899162.7300000004</v>
      </c>
      <c r="G233" s="18">
        <v>2495810.2400000002</v>
      </c>
      <c r="H233" s="18">
        <v>3301.83</v>
      </c>
      <c r="I233" s="18">
        <f>142221.41-0.06</f>
        <v>142221.35</v>
      </c>
      <c r="J233" s="18">
        <v>76070.92</v>
      </c>
      <c r="K233" s="18"/>
      <c r="L233" s="19">
        <f>SUM(F233:K233)</f>
        <v>8616567.0700000003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1449880.78</v>
      </c>
      <c r="G234" s="18">
        <v>610273.38</v>
      </c>
      <c r="H234" s="18">
        <v>940528.16</v>
      </c>
      <c r="I234" s="18">
        <v>2285.4699999999998</v>
      </c>
      <c r="J234" s="18">
        <v>247.98</v>
      </c>
      <c r="K234" s="18">
        <v>780</v>
      </c>
      <c r="L234" s="19">
        <f>SUM(F234:K234)</f>
        <v>3003995.7700000005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168568</v>
      </c>
      <c r="I235" s="18"/>
      <c r="J235" s="18"/>
      <c r="K235" s="18"/>
      <c r="L235" s="19">
        <f>SUM(F235:K235)</f>
        <v>168568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411967.59+41050</f>
        <v>453017.59</v>
      </c>
      <c r="G236" s="18">
        <f>122532.82+3140.33</f>
        <v>125673.15000000001</v>
      </c>
      <c r="H236" s="18">
        <v>127299.78</v>
      </c>
      <c r="I236" s="18">
        <f>54831.86+6560.29</f>
        <v>61392.15</v>
      </c>
      <c r="J236" s="18">
        <v>41878.93</v>
      </c>
      <c r="K236" s="18">
        <f>24887.21+6001.25</f>
        <v>30888.46</v>
      </c>
      <c r="L236" s="19">
        <f>SUM(F236:K236)</f>
        <v>840150.06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661029.94+119926.04</f>
        <v>780955.98</v>
      </c>
      <c r="G238" s="18">
        <v>377541.17</v>
      </c>
      <c r="H238" s="18">
        <f>87347.5+1936</f>
        <v>89283.5</v>
      </c>
      <c r="I238" s="18">
        <f>2325.58+3018.15</f>
        <v>5343.73</v>
      </c>
      <c r="J238" s="18">
        <v>1203.44</v>
      </c>
      <c r="K238" s="18">
        <v>479</v>
      </c>
      <c r="L238" s="19">
        <f t="shared" ref="L238:L244" si="4">SUM(F238:K238)</f>
        <v>1254806.8199999998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160548.56+117090.88+160429.85+40514.36</f>
        <v>478583.65</v>
      </c>
      <c r="G239" s="18">
        <f>16693+210102.7</f>
        <v>226795.7</v>
      </c>
      <c r="H239" s="18">
        <f>19674.64+1827.79+50899.91+50937.91</f>
        <v>123340.25</v>
      </c>
      <c r="I239" s="18">
        <f>986.97+33503.92+133219.87</f>
        <v>167710.76</v>
      </c>
      <c r="J239" s="18">
        <f>7995.67+169922.01+166364.31</f>
        <v>344281.99</v>
      </c>
      <c r="K239" s="18"/>
      <c r="L239" s="19">
        <f t="shared" si="4"/>
        <v>1340712.3500000001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29243.75</v>
      </c>
      <c r="G240" s="18">
        <v>2237.15</v>
      </c>
      <c r="H240" s="18">
        <f>34973.54+575819</f>
        <v>610792.54</v>
      </c>
      <c r="I240" s="18"/>
      <c r="J240" s="18"/>
      <c r="K240" s="18">
        <v>8310.64</v>
      </c>
      <c r="L240" s="19">
        <f t="shared" si="4"/>
        <v>650584.08000000007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611766.81999999995</v>
      </c>
      <c r="G241" s="18">
        <v>274124.78999999998</v>
      </c>
      <c r="H241" s="18">
        <v>97548.36</v>
      </c>
      <c r="I241" s="18">
        <v>17947.669999999998</v>
      </c>
      <c r="J241" s="18"/>
      <c r="K241" s="18">
        <v>29391.58</v>
      </c>
      <c r="L241" s="19">
        <f t="shared" si="4"/>
        <v>1030779.2199999999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712631.39+4561.97</f>
        <v>717193.36</v>
      </c>
      <c r="G243" s="18">
        <v>365939.79</v>
      </c>
      <c r="H243" s="18">
        <f>282994.05+366778.49+14553.38+25507.88+62.67</f>
        <v>689896.47000000009</v>
      </c>
      <c r="I243" s="18">
        <v>484792.39</v>
      </c>
      <c r="J243" s="18">
        <f>57594.91+5000</f>
        <v>62594.91</v>
      </c>
      <c r="K243" s="18">
        <v>2841.36</v>
      </c>
      <c r="L243" s="19">
        <f t="shared" si="4"/>
        <v>2323258.2800000003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496271.59+147130.82+80526.95+37487.9</f>
        <v>761417.26</v>
      </c>
      <c r="I244" s="18"/>
      <c r="J244" s="18"/>
      <c r="K244" s="18"/>
      <c r="L244" s="19">
        <f t="shared" si="4"/>
        <v>761417.26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>
        <f>1410.75+7978.36</f>
        <v>9389.11</v>
      </c>
      <c r="L245" s="19">
        <f>SUM(F245:K245)</f>
        <v>9389.11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10419804.66</v>
      </c>
      <c r="G247" s="41">
        <f t="shared" si="5"/>
        <v>4478395.37</v>
      </c>
      <c r="H247" s="41">
        <f t="shared" si="5"/>
        <v>3611976.1500000004</v>
      </c>
      <c r="I247" s="41">
        <f t="shared" si="5"/>
        <v>881693.52</v>
      </c>
      <c r="J247" s="41">
        <f t="shared" si="5"/>
        <v>526278.17000000004</v>
      </c>
      <c r="K247" s="41">
        <f t="shared" si="5"/>
        <v>82080.149999999994</v>
      </c>
      <c r="L247" s="41">
        <f t="shared" si="5"/>
        <v>20000228.020000003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82109.47</v>
      </c>
      <c r="G251" s="18">
        <v>6705.34</v>
      </c>
      <c r="H251" s="18"/>
      <c r="I251" s="18">
        <v>2546.5300000000002</v>
      </c>
      <c r="J251" s="18"/>
      <c r="K251" s="18">
        <v>232.96</v>
      </c>
      <c r="L251" s="19">
        <f t="shared" si="6"/>
        <v>91594.3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139575</v>
      </c>
      <c r="I255" s="18"/>
      <c r="J255" s="18"/>
      <c r="K255" s="18"/>
      <c r="L255" s="19">
        <f t="shared" si="6"/>
        <v>139575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82109.47</v>
      </c>
      <c r="G256" s="41">
        <f t="shared" si="7"/>
        <v>6705.34</v>
      </c>
      <c r="H256" s="41">
        <f t="shared" si="7"/>
        <v>139575</v>
      </c>
      <c r="I256" s="41">
        <f t="shared" si="7"/>
        <v>2546.5300000000002</v>
      </c>
      <c r="J256" s="41">
        <f t="shared" si="7"/>
        <v>0</v>
      </c>
      <c r="K256" s="41">
        <f t="shared" si="7"/>
        <v>232.96</v>
      </c>
      <c r="L256" s="41">
        <f>SUM(F256:K256)</f>
        <v>231169.3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10501914.130000001</v>
      </c>
      <c r="G257" s="41">
        <f t="shared" si="8"/>
        <v>4485100.71</v>
      </c>
      <c r="H257" s="41">
        <f t="shared" si="8"/>
        <v>3751551.1500000004</v>
      </c>
      <c r="I257" s="41">
        <f t="shared" si="8"/>
        <v>884240.05</v>
      </c>
      <c r="J257" s="41">
        <f t="shared" si="8"/>
        <v>526278.17000000004</v>
      </c>
      <c r="K257" s="41">
        <f t="shared" si="8"/>
        <v>82313.11</v>
      </c>
      <c r="L257" s="41">
        <f t="shared" si="8"/>
        <v>20231397.320000004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1195000</v>
      </c>
      <c r="L260" s="19">
        <f>SUM(F260:K260)</f>
        <v>1195000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747543.5</v>
      </c>
      <c r="L261" s="19">
        <f>SUM(F261:K261)</f>
        <v>747543.5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1982543.5</v>
      </c>
      <c r="L270" s="41">
        <f t="shared" si="9"/>
        <v>1982543.5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10501914.130000001</v>
      </c>
      <c r="G271" s="42">
        <f t="shared" si="11"/>
        <v>4485100.71</v>
      </c>
      <c r="H271" s="42">
        <f t="shared" si="11"/>
        <v>3751551.1500000004</v>
      </c>
      <c r="I271" s="42">
        <f t="shared" si="11"/>
        <v>884240.05</v>
      </c>
      <c r="J271" s="42">
        <f t="shared" si="11"/>
        <v>526278.17000000004</v>
      </c>
      <c r="K271" s="42">
        <f t="shared" si="11"/>
        <v>2064856.61</v>
      </c>
      <c r="L271" s="42">
        <f t="shared" si="11"/>
        <v>22213940.820000004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25325+31525+129084.9</f>
        <v>185934.9</v>
      </c>
      <c r="G314" s="18">
        <f>1931.25+3525+2411.71+4345.19+26+52.12+2949.87+298+134+264.24+9861.72+13003.41+451.79+404.06</f>
        <v>39658.359999999993</v>
      </c>
      <c r="H314" s="18">
        <v>75</v>
      </c>
      <c r="I314" s="18">
        <f>999.5+89.5+134.91+351.3</f>
        <v>1575.21</v>
      </c>
      <c r="J314" s="18">
        <v>10890</v>
      </c>
      <c r="K314" s="18"/>
      <c r="L314" s="19">
        <f>SUM(F314:K314)</f>
        <v>238133.46999999997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11812.5+61715.26</f>
        <v>73527.760000000009</v>
      </c>
      <c r="G315" s="18">
        <f>2.14+2.69+5751.5+476.8+77.8+157.25+5604.17+8071.09+251.01+315.55</f>
        <v>20710</v>
      </c>
      <c r="H315" s="18">
        <f>6104+116453.2+1125</f>
        <v>123682.2</v>
      </c>
      <c r="I315" s="18">
        <f>3910.05+1676+11777.85+1169.38+5250</f>
        <v>23783.280000000002</v>
      </c>
      <c r="J315" s="18">
        <v>10821.99</v>
      </c>
      <c r="K315" s="18">
        <v>2711.75</v>
      </c>
      <c r="L315" s="19">
        <f>SUM(F315:K315)</f>
        <v>255236.98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12000</v>
      </c>
      <c r="G317" s="18">
        <f>917.99+1172.7+42+52</f>
        <v>2184.69</v>
      </c>
      <c r="H317" s="18"/>
      <c r="I317" s="18">
        <v>496.7</v>
      </c>
      <c r="J317" s="18"/>
      <c r="K317" s="18"/>
      <c r="L317" s="19">
        <f>SUM(F317:K317)</f>
        <v>14681.390000000001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>
        <v>8517.86</v>
      </c>
      <c r="K319" s="18">
        <v>79.989999999999995</v>
      </c>
      <c r="L319" s="19">
        <f t="shared" ref="L319:L325" si="16">SUM(F319:K319)</f>
        <v>8597.85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5737.5+1463</f>
        <v>7200.5</v>
      </c>
      <c r="G320" s="18">
        <f>438.95+615.96+111.92+5.12+6.39</f>
        <v>1178.3400000000001</v>
      </c>
      <c r="H320" s="18">
        <v>4500</v>
      </c>
      <c r="I320" s="18"/>
      <c r="J320" s="18"/>
      <c r="K320" s="18"/>
      <c r="L320" s="19">
        <f t="shared" si="16"/>
        <v>12878.84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2625</v>
      </c>
      <c r="G321" s="18">
        <f>2.85+3.58+200.82+384.91+6.12+7.7</f>
        <v>605.98000000000013</v>
      </c>
      <c r="H321" s="18"/>
      <c r="I321" s="18"/>
      <c r="J321" s="18"/>
      <c r="K321" s="18">
        <f>135.85+1083.45+903.47+1218.24+459.72+220.29+5551.29+484.55+50+3966.82</f>
        <v>14073.68</v>
      </c>
      <c r="L321" s="19">
        <f t="shared" si="16"/>
        <v>17304.66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>
        <v>1232.43</v>
      </c>
      <c r="L325" s="19">
        <f t="shared" si="16"/>
        <v>1232.43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281288.16000000003</v>
      </c>
      <c r="G328" s="42">
        <f t="shared" si="17"/>
        <v>64337.37</v>
      </c>
      <c r="H328" s="42">
        <f t="shared" si="17"/>
        <v>128257.2</v>
      </c>
      <c r="I328" s="42">
        <f t="shared" si="17"/>
        <v>25855.190000000002</v>
      </c>
      <c r="J328" s="42">
        <f t="shared" si="17"/>
        <v>30229.85</v>
      </c>
      <c r="K328" s="42">
        <f t="shared" si="17"/>
        <v>18097.849999999999</v>
      </c>
      <c r="L328" s="41">
        <f t="shared" si="17"/>
        <v>548065.62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45097+16961</f>
        <v>62058</v>
      </c>
      <c r="G333" s="18">
        <f>3449.98+4063.9+157.83+198.42+1297.54+1595.35+59.36+74.62</f>
        <v>10897.000000000002</v>
      </c>
      <c r="H333" s="18"/>
      <c r="I333" s="18"/>
      <c r="J333" s="18"/>
      <c r="K333" s="18"/>
      <c r="L333" s="19">
        <f t="shared" si="18"/>
        <v>72955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62058</v>
      </c>
      <c r="G337" s="41">
        <f t="shared" si="19"/>
        <v>10897.000000000002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72955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343346.16000000003</v>
      </c>
      <c r="G338" s="41">
        <f t="shared" si="20"/>
        <v>75234.37000000001</v>
      </c>
      <c r="H338" s="41">
        <f t="shared" si="20"/>
        <v>128257.2</v>
      </c>
      <c r="I338" s="41">
        <f t="shared" si="20"/>
        <v>25855.190000000002</v>
      </c>
      <c r="J338" s="41">
        <f t="shared" si="20"/>
        <v>30229.85</v>
      </c>
      <c r="K338" s="41">
        <f t="shared" si="20"/>
        <v>18097.849999999999</v>
      </c>
      <c r="L338" s="41">
        <f t="shared" si="20"/>
        <v>621020.62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343346.16000000003</v>
      </c>
      <c r="G352" s="41">
        <f>G338</f>
        <v>75234.37000000001</v>
      </c>
      <c r="H352" s="41">
        <f>H338</f>
        <v>128257.2</v>
      </c>
      <c r="I352" s="41">
        <f>I338</f>
        <v>25855.190000000002</v>
      </c>
      <c r="J352" s="41">
        <f>J338</f>
        <v>30229.85</v>
      </c>
      <c r="K352" s="47">
        <f>K338+K351</f>
        <v>18097.849999999999</v>
      </c>
      <c r="L352" s="41">
        <f>L338+L351</f>
        <v>621020.62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50960.06+199077.75+83.21</f>
        <v>250121.02</v>
      </c>
      <c r="G360" s="18"/>
      <c r="H360" s="18">
        <f>1713+7990.57</f>
        <v>9703.57</v>
      </c>
      <c r="I360" s="18">
        <f>18368.53+278553.24+17071.5</f>
        <v>313993.27</v>
      </c>
      <c r="J360" s="18">
        <v>5052.78</v>
      </c>
      <c r="K360" s="18">
        <v>1996.74</v>
      </c>
      <c r="L360" s="19">
        <f>SUM(F360:K360)</f>
        <v>580867.38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250121.02</v>
      </c>
      <c r="G362" s="47">
        <f t="shared" si="22"/>
        <v>0</v>
      </c>
      <c r="H362" s="47">
        <f t="shared" si="22"/>
        <v>9703.57</v>
      </c>
      <c r="I362" s="47">
        <f t="shared" si="22"/>
        <v>313993.27</v>
      </c>
      <c r="J362" s="47">
        <f t="shared" si="22"/>
        <v>5052.78</v>
      </c>
      <c r="K362" s="47">
        <f t="shared" si="22"/>
        <v>1996.74</v>
      </c>
      <c r="L362" s="47">
        <f t="shared" si="22"/>
        <v>580867.38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f>278553.24+17071.5</f>
        <v>295624.74</v>
      </c>
      <c r="I367" s="56">
        <f>SUM(F367:H367)</f>
        <v>295624.74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18368.53</v>
      </c>
      <c r="I368" s="56">
        <f>SUM(F368:H368)</f>
        <v>18368.53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313993.27</v>
      </c>
      <c r="I369" s="47">
        <f>SUM(I367:I368)</f>
        <v>313993.27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3633.66</v>
      </c>
      <c r="I396" s="18"/>
      <c r="J396" s="24" t="s">
        <v>289</v>
      </c>
      <c r="K396" s="24" t="s">
        <v>289</v>
      </c>
      <c r="L396" s="56">
        <f t="shared" si="26"/>
        <v>3633.66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40000</v>
      </c>
      <c r="H397" s="18">
        <v>4821.1000000000004</v>
      </c>
      <c r="I397" s="18"/>
      <c r="J397" s="24" t="s">
        <v>289</v>
      </c>
      <c r="K397" s="24" t="s">
        <v>289</v>
      </c>
      <c r="L397" s="56">
        <f t="shared" si="26"/>
        <v>44821.1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-33.56</v>
      </c>
      <c r="I398" s="18"/>
      <c r="J398" s="24" t="s">
        <v>289</v>
      </c>
      <c r="K398" s="24" t="s">
        <v>289</v>
      </c>
      <c r="L398" s="56">
        <f t="shared" si="26"/>
        <v>-33.56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8421.2000000000007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48421.2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8421.2000000000007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48421.2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315607.45+245862.17+4715.88</f>
        <v>566185.5</v>
      </c>
      <c r="H440" s="18"/>
      <c r="I440" s="56">
        <f t="shared" si="33"/>
        <v>566185.5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566185.5</v>
      </c>
      <c r="H446" s="13">
        <f>SUM(H439:H445)</f>
        <v>0</v>
      </c>
      <c r="I446" s="13">
        <f>SUM(I439:I445)</f>
        <v>566185.5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566185.5</v>
      </c>
      <c r="H459" s="18"/>
      <c r="I459" s="56">
        <f t="shared" si="34"/>
        <v>566185.5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566185.5</v>
      </c>
      <c r="H460" s="83">
        <f>SUM(H454:H459)</f>
        <v>0</v>
      </c>
      <c r="I460" s="83">
        <f>SUM(I454:I459)</f>
        <v>566185.5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566185.5</v>
      </c>
      <c r="H461" s="42">
        <f>H452+H460</f>
        <v>0</v>
      </c>
      <c r="I461" s="42">
        <f>I452+I460</f>
        <v>566185.5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607028.03</v>
      </c>
      <c r="G465" s="18">
        <v>121829.89</v>
      </c>
      <c r="H465" s="18">
        <v>0</v>
      </c>
      <c r="I465" s="18"/>
      <c r="J465" s="18">
        <v>517764.3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22559146.789999999</v>
      </c>
      <c r="G468" s="18">
        <v>515825.86</v>
      </c>
      <c r="H468" s="18">
        <v>621020.62</v>
      </c>
      <c r="I468" s="18"/>
      <c r="J468" s="18">
        <v>48421.2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22559146.789999999</v>
      </c>
      <c r="G470" s="53">
        <f>SUM(G468:G469)</f>
        <v>515825.86</v>
      </c>
      <c r="H470" s="53">
        <f>SUM(H468:H469)</f>
        <v>621020.62</v>
      </c>
      <c r="I470" s="53">
        <f>SUM(I468:I469)</f>
        <v>0</v>
      </c>
      <c r="J470" s="53">
        <f>SUM(J468:J469)</f>
        <v>48421.2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22213940.82</v>
      </c>
      <c r="G472" s="18">
        <v>580867.38</v>
      </c>
      <c r="H472" s="18">
        <v>621020.62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22213940.82</v>
      </c>
      <c r="G474" s="53">
        <f>SUM(G472:G473)</f>
        <v>580867.38</v>
      </c>
      <c r="H474" s="53">
        <f>SUM(H472:H473)</f>
        <v>621020.62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952234</v>
      </c>
      <c r="G476" s="53">
        <f>(G465+G470)- G474</f>
        <v>56788.369999999995</v>
      </c>
      <c r="H476" s="53">
        <f>(H465+H470)- H474</f>
        <v>0</v>
      </c>
      <c r="I476" s="53">
        <f>(I465+I470)- I474</f>
        <v>0</v>
      </c>
      <c r="J476" s="53">
        <f>(J465+J470)- J474</f>
        <v>566185.5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916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25484800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17030000</v>
      </c>
      <c r="G495" s="18"/>
      <c r="H495" s="18"/>
      <c r="I495" s="18"/>
      <c r="J495" s="18"/>
      <c r="K495" s="53">
        <f>SUM(F495:J495)</f>
        <v>17030000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1195000+747543.5</f>
        <v>1942543.5</v>
      </c>
      <c r="G497" s="18"/>
      <c r="H497" s="18"/>
      <c r="I497" s="18"/>
      <c r="J497" s="18"/>
      <c r="K497" s="53">
        <f t="shared" si="35"/>
        <v>1942543.5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15835000</v>
      </c>
      <c r="G498" s="204"/>
      <c r="H498" s="204"/>
      <c r="I498" s="204"/>
      <c r="J498" s="204"/>
      <c r="K498" s="205">
        <f t="shared" si="35"/>
        <v>15835000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3856658.75</v>
      </c>
      <c r="G499" s="18"/>
      <c r="H499" s="18"/>
      <c r="I499" s="18"/>
      <c r="J499" s="18"/>
      <c r="K499" s="53">
        <f t="shared" si="35"/>
        <v>3856658.75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19691658.75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19691658.75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1255000</v>
      </c>
      <c r="G501" s="204"/>
      <c r="H501" s="204"/>
      <c r="I501" s="204"/>
      <c r="J501" s="204"/>
      <c r="K501" s="205">
        <f t="shared" si="35"/>
        <v>1255000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391956.25+360581.25-24244-20000</f>
        <v>708293.5</v>
      </c>
      <c r="G502" s="18"/>
      <c r="H502" s="18"/>
      <c r="I502" s="18"/>
      <c r="J502" s="18"/>
      <c r="K502" s="53">
        <f t="shared" si="35"/>
        <v>708293.5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1963293.5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1963293.5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775570.29+253926.42+81.25+73527.76</f>
        <v>1103105.72</v>
      </c>
      <c r="G523" s="18">
        <f>263009.71+167434.7+20710</f>
        <v>451154.41000000003</v>
      </c>
      <c r="H523" s="18">
        <f>940528.16-9901.86+123682.2</f>
        <v>1054308.5</v>
      </c>
      <c r="I523" s="18">
        <f>2285.47+23783.28</f>
        <v>26068.75</v>
      </c>
      <c r="J523" s="18">
        <f>247.98+10821.99</f>
        <v>11069.97</v>
      </c>
      <c r="K523" s="18">
        <v>2711.75</v>
      </c>
      <c r="L523" s="88">
        <f>SUM(F523:K523)</f>
        <v>2648419.1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1103105.72</v>
      </c>
      <c r="G524" s="108">
        <f t="shared" ref="G524:L524" si="36">SUM(G521:G523)</f>
        <v>451154.41000000003</v>
      </c>
      <c r="H524" s="108">
        <f t="shared" si="36"/>
        <v>1054308.5</v>
      </c>
      <c r="I524" s="108">
        <f t="shared" si="36"/>
        <v>26068.75</v>
      </c>
      <c r="J524" s="108">
        <f t="shared" si="36"/>
        <v>11069.97</v>
      </c>
      <c r="K524" s="108">
        <f t="shared" si="36"/>
        <v>2711.75</v>
      </c>
      <c r="L524" s="89">
        <f t="shared" si="36"/>
        <v>2648419.1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283850.34000000003</v>
      </c>
      <c r="G528" s="18">
        <v>114441.5</v>
      </c>
      <c r="H528" s="18"/>
      <c r="I528" s="18"/>
      <c r="J528" s="18"/>
      <c r="K528" s="18"/>
      <c r="L528" s="88">
        <f>SUM(F528:K528)</f>
        <v>398291.84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283850.34000000003</v>
      </c>
      <c r="G529" s="89">
        <f t="shared" ref="G529:L529" si="37">SUM(G526:G528)</f>
        <v>114441.5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398291.84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90244.93+46207.55</f>
        <v>136452.47999999998</v>
      </c>
      <c r="G533" s="18">
        <f>29238.14+36149.33</f>
        <v>65387.47</v>
      </c>
      <c r="H533" s="18"/>
      <c r="I533" s="18"/>
      <c r="J533" s="18"/>
      <c r="K533" s="18">
        <f>780</f>
        <v>780</v>
      </c>
      <c r="L533" s="88">
        <f>SUM(F533:K533)</f>
        <v>202619.94999999998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136452.47999999998</v>
      </c>
      <c r="G534" s="89">
        <f t="shared" ref="G534:L534" si="38">SUM(G531:G533)</f>
        <v>65387.47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780</v>
      </c>
      <c r="L534" s="89">
        <f t="shared" si="38"/>
        <v>202619.94999999998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9901.86</v>
      </c>
      <c r="I538" s="18"/>
      <c r="J538" s="18"/>
      <c r="K538" s="18"/>
      <c r="L538" s="88">
        <f>SUM(F538:K538)</f>
        <v>9901.86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9901.86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9901.86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147130.82</v>
      </c>
      <c r="I543" s="18"/>
      <c r="J543" s="18"/>
      <c r="K543" s="18"/>
      <c r="L543" s="88">
        <f>SUM(F543:K543)</f>
        <v>147130.82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147130.82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147130.82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1523408.54</v>
      </c>
      <c r="G545" s="89">
        <f t="shared" ref="G545:L545" si="41">G524+G529+G534+G539+G544</f>
        <v>630983.38</v>
      </c>
      <c r="H545" s="89">
        <f t="shared" si="41"/>
        <v>1211341.1800000002</v>
      </c>
      <c r="I545" s="89">
        <f t="shared" si="41"/>
        <v>26068.75</v>
      </c>
      <c r="J545" s="89">
        <f t="shared" si="41"/>
        <v>11069.97</v>
      </c>
      <c r="K545" s="89">
        <f t="shared" si="41"/>
        <v>3491.75</v>
      </c>
      <c r="L545" s="89">
        <f t="shared" si="41"/>
        <v>3406363.57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2648419.1</v>
      </c>
      <c r="G551" s="87">
        <f>L528</f>
        <v>398291.84</v>
      </c>
      <c r="H551" s="87">
        <f>L533</f>
        <v>202619.94999999998</v>
      </c>
      <c r="I551" s="87">
        <f>L538</f>
        <v>9901.86</v>
      </c>
      <c r="J551" s="87">
        <f>L543</f>
        <v>147130.82</v>
      </c>
      <c r="K551" s="87">
        <f>SUM(F551:J551)</f>
        <v>3406363.57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2648419.1</v>
      </c>
      <c r="G552" s="89">
        <f t="shared" si="42"/>
        <v>398291.84</v>
      </c>
      <c r="H552" s="89">
        <f t="shared" si="42"/>
        <v>202619.94999999998</v>
      </c>
      <c r="I552" s="89">
        <f t="shared" si="42"/>
        <v>9901.86</v>
      </c>
      <c r="J552" s="89">
        <f t="shared" si="42"/>
        <v>147130.82</v>
      </c>
      <c r="K552" s="89">
        <f t="shared" si="42"/>
        <v>3406363.57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56190.52</v>
      </c>
      <c r="I579" s="87">
        <f t="shared" si="47"/>
        <v>56190.52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f>468248.85-8745.32</f>
        <v>459503.52999999997</v>
      </c>
      <c r="I582" s="87">
        <f t="shared" si="47"/>
        <v>459503.52999999997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f>325349+17504.09</f>
        <v>342853.09</v>
      </c>
      <c r="I583" s="87">
        <f t="shared" si="47"/>
        <v>342853.09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168568</v>
      </c>
      <c r="I584" s="87">
        <f t="shared" si="47"/>
        <v>168568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/>
      <c r="J591" s="18">
        <f>496271.59-49627.16</f>
        <v>446644.43000000005</v>
      </c>
      <c r="K591" s="104">
        <f t="shared" ref="K591:K597" si="48">SUM(H591:J591)</f>
        <v>446644.43000000005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147130.82</v>
      </c>
      <c r="K592" s="104">
        <f t="shared" si="48"/>
        <v>147130.82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49627.16</v>
      </c>
      <c r="K593" s="104">
        <f t="shared" si="48"/>
        <v>49627.16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80526.95</v>
      </c>
      <c r="K594" s="104">
        <f t="shared" si="48"/>
        <v>80526.95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37487.9</v>
      </c>
      <c r="K597" s="104">
        <f t="shared" si="48"/>
        <v>37487.9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761417.26</v>
      </c>
      <c r="K598" s="108">
        <f>SUM(K591:K597)</f>
        <v>761417.26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>
        <v>14401.74</v>
      </c>
      <c r="K603" s="104">
        <f>SUM(H603:J603)</f>
        <v>14401.74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>
        <f>526278.17-14401.74+30229.85</f>
        <v>542106.28</v>
      </c>
      <c r="K604" s="104">
        <f>SUM(H604:J604)</f>
        <v>542106.28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556508.02</v>
      </c>
      <c r="K605" s="108">
        <f>SUM(K602:K604)</f>
        <v>556508.02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41050</v>
      </c>
      <c r="G613" s="18"/>
      <c r="H613" s="18"/>
      <c r="I613" s="18">
        <v>6560.29</v>
      </c>
      <c r="J613" s="18"/>
      <c r="K613" s="18"/>
      <c r="L613" s="88">
        <f>SUM(F613:K613)</f>
        <v>47610.29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41050</v>
      </c>
      <c r="G614" s="108">
        <f t="shared" si="49"/>
        <v>0</v>
      </c>
      <c r="H614" s="108">
        <f t="shared" si="49"/>
        <v>0</v>
      </c>
      <c r="I614" s="108">
        <f t="shared" si="49"/>
        <v>6560.29</v>
      </c>
      <c r="J614" s="108">
        <f t="shared" si="49"/>
        <v>0</v>
      </c>
      <c r="K614" s="108">
        <f t="shared" si="49"/>
        <v>0</v>
      </c>
      <c r="L614" s="89">
        <f t="shared" si="49"/>
        <v>47610.29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1153353.1399999999</v>
      </c>
      <c r="H617" s="109">
        <f>SUM(F52)</f>
        <v>1153353.1399999999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69640.56</v>
      </c>
      <c r="H618" s="109">
        <f>SUM(G52)</f>
        <v>69640.56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106849.79</v>
      </c>
      <c r="H619" s="109">
        <f>SUM(H52)</f>
        <v>106849.79000000001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566185.5</v>
      </c>
      <c r="H621" s="109">
        <f>SUM(J52)</f>
        <v>566185.5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952234</v>
      </c>
      <c r="H622" s="109">
        <f>F476</f>
        <v>952234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56788.37</v>
      </c>
      <c r="H623" s="109">
        <f>G476</f>
        <v>56788.369999999995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566185.5</v>
      </c>
      <c r="H626" s="109">
        <f>J476</f>
        <v>566185.5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22559146.790000003</v>
      </c>
      <c r="H627" s="104">
        <f>SUM(F468)</f>
        <v>22559146.789999999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515825.86</v>
      </c>
      <c r="H628" s="104">
        <f>SUM(G468)</f>
        <v>515825.86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621020.62000000011</v>
      </c>
      <c r="H629" s="104">
        <f>SUM(H468)</f>
        <v>621020.62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48421.2</v>
      </c>
      <c r="H631" s="104">
        <f>SUM(J468)</f>
        <v>48421.2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22213940.820000004</v>
      </c>
      <c r="H632" s="104">
        <f>SUM(F472)</f>
        <v>22213940.82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621020.62</v>
      </c>
      <c r="H633" s="104">
        <f>SUM(H472)</f>
        <v>621020.62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313993.27</v>
      </c>
      <c r="H634" s="104">
        <f>I369</f>
        <v>313993.27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580867.38</v>
      </c>
      <c r="H635" s="104">
        <f>SUM(G472)</f>
        <v>580867.38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48421.2</v>
      </c>
      <c r="H637" s="164">
        <f>SUM(J468)</f>
        <v>48421.2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566185.5</v>
      </c>
      <c r="H640" s="104">
        <f>SUM(G461)</f>
        <v>566185.5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566185.5</v>
      </c>
      <c r="H642" s="104">
        <f>SUM(I461)</f>
        <v>566185.5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8421.2000000000007</v>
      </c>
      <c r="H644" s="104">
        <f>H408</f>
        <v>8421.2000000000007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48421.2</v>
      </c>
      <c r="H646" s="104">
        <f>L408</f>
        <v>48421.2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761417.26</v>
      </c>
      <c r="H647" s="104">
        <f>L208+L226+L244</f>
        <v>761417.26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556508.02</v>
      </c>
      <c r="H648" s="104">
        <f>(J257+J338)-(J255+J336)</f>
        <v>556508.02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761417.26</v>
      </c>
      <c r="H651" s="104">
        <f>J598</f>
        <v>761417.26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21129161.020000003</v>
      </c>
      <c r="I660" s="19">
        <f>SUM(F660:H660)</f>
        <v>21129161.020000003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391776.89</v>
      </c>
      <c r="I661" s="19">
        <f>SUM(F661:H661)</f>
        <v>391776.89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762649.69000000006</v>
      </c>
      <c r="I662" s="19">
        <f>SUM(F662:H662)</f>
        <v>762649.69000000006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1631233.4500000002</v>
      </c>
      <c r="I663" s="19">
        <f>SUM(F663:H663)</f>
        <v>1631233.4500000002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18343500.990000002</v>
      </c>
      <c r="I664" s="19">
        <f>I660-SUM(I661:I663)</f>
        <v>18343500.990000002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1087.1500000000001</v>
      </c>
      <c r="I665" s="19">
        <f>SUM(F665:H665)</f>
        <v>1087.1500000000001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16873.02</v>
      </c>
      <c r="I667" s="19">
        <f>ROUND(I664/I665,2)</f>
        <v>16873.02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-21.78</v>
      </c>
      <c r="I670" s="19">
        <f>SUM(F670:H670)</f>
        <v>-21.78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17217.96</v>
      </c>
      <c r="I672" s="19">
        <f>ROUND((I664+I669)/(I665+I670),2)</f>
        <v>17217.96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WINNACUNNET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6085097.6300000008</v>
      </c>
      <c r="C9" s="229">
        <f>'DOE25'!G197+'DOE25'!G215+'DOE25'!G233+'DOE25'!G276+'DOE25'!G295+'DOE25'!G314</f>
        <v>2535468.6</v>
      </c>
    </row>
    <row r="10" spans="1:3" x14ac:dyDescent="0.2">
      <c r="A10" t="s">
        <v>779</v>
      </c>
      <c r="B10" s="240">
        <f>25325+129084.9+31525+5605130.07</f>
        <v>5791064.9700000007</v>
      </c>
      <c r="C10" s="240">
        <f>26+52.12+1931.25+3525+2949.87+298+134+264.24+9861.72+13003.41+451.79+404.06+2411.71+4345.19+2452081.87-0.01</f>
        <v>2491740.2200000002</v>
      </c>
    </row>
    <row r="11" spans="1:3" x14ac:dyDescent="0.2">
      <c r="A11" t="s">
        <v>780</v>
      </c>
      <c r="B11" s="240">
        <f>47081.6+38912.25+14852.74</f>
        <v>100846.59000000001</v>
      </c>
      <c r="C11" s="240">
        <f>9273.04</f>
        <v>9273.0400000000009</v>
      </c>
    </row>
    <row r="12" spans="1:3" x14ac:dyDescent="0.2">
      <c r="A12" t="s">
        <v>781</v>
      </c>
      <c r="B12" s="240">
        <f>82399.36+110786.71</f>
        <v>193186.07</v>
      </c>
      <c r="C12" s="240">
        <f>16248.6+7599.56+1301.1+9306.08</f>
        <v>34455.339999999997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6085097.6300000008</v>
      </c>
      <c r="C13" s="231">
        <f>SUM(C10:C12)</f>
        <v>2535468.6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1523408.54</v>
      </c>
      <c r="C18" s="229">
        <f>'DOE25'!G198+'DOE25'!G216+'DOE25'!G234+'DOE25'!G277+'DOE25'!G296+'DOE25'!G315</f>
        <v>630983.38</v>
      </c>
    </row>
    <row r="19" spans="1:3" x14ac:dyDescent="0.2">
      <c r="A19" t="s">
        <v>779</v>
      </c>
      <c r="B19" s="240">
        <f>11812.5+775570.29+283850.34</f>
        <v>1071233.1300000001</v>
      </c>
      <c r="C19" s="240">
        <f>903.65+1672.65+263009.71+114441.5</f>
        <v>380027.51</v>
      </c>
    </row>
    <row r="20" spans="1:3" x14ac:dyDescent="0.2">
      <c r="A20" t="s">
        <v>780</v>
      </c>
      <c r="B20" s="240">
        <f>61715.26+253926.42+81.25</f>
        <v>315722.93</v>
      </c>
      <c r="C20" s="240">
        <f>2.14+2.69+5751.5+476.8+77.8+157.25+4700.52+6398.44+251.01+315.55+167434.7</f>
        <v>185568.40000000002</v>
      </c>
    </row>
    <row r="21" spans="1:3" x14ac:dyDescent="0.2">
      <c r="A21" t="s">
        <v>781</v>
      </c>
      <c r="B21" s="240">
        <f>90244.93+46207.55</f>
        <v>136452.47999999998</v>
      </c>
      <c r="C21" s="240">
        <f>29238.14+36149.33</f>
        <v>65387.47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1523408.54</v>
      </c>
      <c r="C22" s="231">
        <f>SUM(C19:C21)</f>
        <v>630983.38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465017.59</v>
      </c>
      <c r="C36" s="235">
        <f>'DOE25'!G200+'DOE25'!G218+'DOE25'!G236+'DOE25'!G279+'DOE25'!G298+'DOE25'!G317</f>
        <v>127857.84000000001</v>
      </c>
    </row>
    <row r="37" spans="1:3" x14ac:dyDescent="0.2">
      <c r="A37" t="s">
        <v>779</v>
      </c>
      <c r="B37" s="240">
        <f>12000+41050</f>
        <v>53050</v>
      </c>
      <c r="C37" s="240">
        <v>2184.69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411967.59</v>
      </c>
      <c r="C39" s="240">
        <f>122532.82+3140.33</f>
        <v>125673.15000000001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465017.59</v>
      </c>
      <c r="C40" s="231">
        <f>SUM(C37:C39)</f>
        <v>127857.84000000001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WINNACUNNET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12629280.9</v>
      </c>
      <c r="D5" s="20">
        <f>SUM('DOE25'!L197:L200)+SUM('DOE25'!L215:L218)+SUM('DOE25'!L233:L236)-F5-G5</f>
        <v>12479414.609999999</v>
      </c>
      <c r="E5" s="243"/>
      <c r="F5" s="255">
        <f>SUM('DOE25'!J197:J200)+SUM('DOE25'!J215:J218)+SUM('DOE25'!J233:J236)</f>
        <v>118197.82999999999</v>
      </c>
      <c r="G5" s="53">
        <f>SUM('DOE25'!K197:K200)+SUM('DOE25'!K215:K218)+SUM('DOE25'!K233:K236)</f>
        <v>31668.46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1254806.8199999998</v>
      </c>
      <c r="D6" s="20">
        <f>'DOE25'!L202+'DOE25'!L220+'DOE25'!L238-F6-G6</f>
        <v>1253124.3799999999</v>
      </c>
      <c r="E6" s="243"/>
      <c r="F6" s="255">
        <f>'DOE25'!J202+'DOE25'!J220+'DOE25'!J238</f>
        <v>1203.44</v>
      </c>
      <c r="G6" s="53">
        <f>'DOE25'!K202+'DOE25'!K220+'DOE25'!K238</f>
        <v>479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1340712.3500000001</v>
      </c>
      <c r="D7" s="20">
        <f>'DOE25'!L203+'DOE25'!L221+'DOE25'!L239-F7-G7</f>
        <v>996430.3600000001</v>
      </c>
      <c r="E7" s="243"/>
      <c r="F7" s="255">
        <f>'DOE25'!J203+'DOE25'!J221+'DOE25'!J239</f>
        <v>344281.99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392760.60000000003</v>
      </c>
      <c r="D8" s="243"/>
      <c r="E8" s="20">
        <f>'DOE25'!L204+'DOE25'!L222+'DOE25'!L240-F8-G8-D9-D11</f>
        <v>384449.96</v>
      </c>
      <c r="F8" s="255">
        <f>'DOE25'!J204+'DOE25'!J222+'DOE25'!J240</f>
        <v>0</v>
      </c>
      <c r="G8" s="53">
        <f>'DOE25'!K204+'DOE25'!K222+'DOE25'!K240</f>
        <v>8310.64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72527.929999999993</v>
      </c>
      <c r="D9" s="244">
        <v>72527.929999999993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11875</v>
      </c>
      <c r="D10" s="243"/>
      <c r="E10" s="244">
        <v>11875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185295.55</v>
      </c>
      <c r="D11" s="244">
        <v>185295.55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1030779.2199999999</v>
      </c>
      <c r="D12" s="20">
        <f>'DOE25'!L205+'DOE25'!L223+'DOE25'!L241-F12-G12</f>
        <v>1001387.6399999999</v>
      </c>
      <c r="E12" s="243"/>
      <c r="F12" s="255">
        <f>'DOE25'!J205+'DOE25'!J223+'DOE25'!J241</f>
        <v>0</v>
      </c>
      <c r="G12" s="53">
        <f>'DOE25'!K205+'DOE25'!K223+'DOE25'!K241</f>
        <v>29391.58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2323258.2800000003</v>
      </c>
      <c r="D14" s="20">
        <f>'DOE25'!L207+'DOE25'!L225+'DOE25'!L243-F14-G14</f>
        <v>2257822.0100000002</v>
      </c>
      <c r="E14" s="243"/>
      <c r="F14" s="255">
        <f>'DOE25'!J207+'DOE25'!J225+'DOE25'!J243</f>
        <v>62594.91</v>
      </c>
      <c r="G14" s="53">
        <f>'DOE25'!K207+'DOE25'!K225+'DOE25'!K243</f>
        <v>2841.36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761417.26</v>
      </c>
      <c r="D15" s="20">
        <f>'DOE25'!L208+'DOE25'!L226+'DOE25'!L244-F15-G15</f>
        <v>761417.26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9389.11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9389.11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91594.3</v>
      </c>
      <c r="D17" s="20">
        <f>'DOE25'!L251-F17-G17</f>
        <v>91361.34</v>
      </c>
      <c r="E17" s="243"/>
      <c r="F17" s="255">
        <f>'DOE25'!J251</f>
        <v>0</v>
      </c>
      <c r="G17" s="53">
        <f>'DOE25'!K251</f>
        <v>232.96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139575</v>
      </c>
      <c r="D22" s="243"/>
      <c r="E22" s="243"/>
      <c r="F22" s="255">
        <f>'DOE25'!L255+'DOE25'!L336</f>
        <v>139575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1942543.5</v>
      </c>
      <c r="D25" s="243"/>
      <c r="E25" s="243"/>
      <c r="F25" s="258"/>
      <c r="G25" s="256"/>
      <c r="H25" s="257">
        <f>'DOE25'!L260+'DOE25'!L261+'DOE25'!L341+'DOE25'!L342</f>
        <v>1942543.5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285242.64</v>
      </c>
      <c r="D29" s="20">
        <f>'DOE25'!L358+'DOE25'!L359+'DOE25'!L360-'DOE25'!I367-F29-G29</f>
        <v>278193.12</v>
      </c>
      <c r="E29" s="243"/>
      <c r="F29" s="255">
        <f>'DOE25'!J358+'DOE25'!J359+'DOE25'!J360</f>
        <v>5052.78</v>
      </c>
      <c r="G29" s="53">
        <f>'DOE25'!K358+'DOE25'!K359+'DOE25'!K360</f>
        <v>1996.74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621020.62</v>
      </c>
      <c r="D31" s="20">
        <f>'DOE25'!L290+'DOE25'!L309+'DOE25'!L328+'DOE25'!L333+'DOE25'!L334+'DOE25'!L335-F31-G31</f>
        <v>572692.92000000004</v>
      </c>
      <c r="E31" s="243"/>
      <c r="F31" s="255">
        <f>'DOE25'!J290+'DOE25'!J309+'DOE25'!J328+'DOE25'!J333+'DOE25'!J334+'DOE25'!J335</f>
        <v>30229.85</v>
      </c>
      <c r="G31" s="53">
        <f>'DOE25'!K290+'DOE25'!K309+'DOE25'!K328+'DOE25'!K333+'DOE25'!K334+'DOE25'!K335</f>
        <v>18097.849999999999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19949667.120000005</v>
      </c>
      <c r="E33" s="246">
        <f>SUM(E5:E31)</f>
        <v>396324.96</v>
      </c>
      <c r="F33" s="246">
        <f>SUM(F5:F31)</f>
        <v>701135.8</v>
      </c>
      <c r="G33" s="246">
        <f>SUM(G5:G31)</f>
        <v>102407.70000000001</v>
      </c>
      <c r="H33" s="246">
        <f>SUM(H5:H31)</f>
        <v>1942543.5</v>
      </c>
    </row>
    <row r="35" spans="2:8" ht="12" thickBot="1" x14ac:dyDescent="0.25">
      <c r="B35" s="253" t="s">
        <v>847</v>
      </c>
      <c r="D35" s="254">
        <f>E33</f>
        <v>396324.96</v>
      </c>
      <c r="E35" s="249"/>
    </row>
    <row r="36" spans="2:8" ht="12" thickTop="1" x14ac:dyDescent="0.2">
      <c r="B36" t="s">
        <v>815</v>
      </c>
      <c r="D36" s="20">
        <f>D33</f>
        <v>19949667.120000005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991776.09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34042.720000000001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566185.5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44898.25</v>
      </c>
      <c r="D11" s="95">
        <f>'DOE25'!G12</f>
        <v>58691.1</v>
      </c>
      <c r="E11" s="95">
        <f>'DOE25'!H12</f>
        <v>106849.79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45765.29</v>
      </c>
      <c r="D12" s="95">
        <f>'DOE25'!G13</f>
        <v>6221.99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35391.4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4527.47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1479.39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1153353.1399999999</v>
      </c>
      <c r="D18" s="41">
        <f>SUM(D8:D17)</f>
        <v>69640.56</v>
      </c>
      <c r="E18" s="41">
        <f>SUM(E8:E17)</f>
        <v>106849.79</v>
      </c>
      <c r="F18" s="41">
        <f>SUM(F8:F17)</f>
        <v>0</v>
      </c>
      <c r="G18" s="41">
        <f>SUM(G8:G17)</f>
        <v>566185.5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103589.35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91356.59</v>
      </c>
      <c r="D23" s="95">
        <f>'DOE25'!G24</f>
        <v>192.75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70289.25</v>
      </c>
      <c r="D27" s="95">
        <f>'DOE25'!G28</f>
        <v>3001.85</v>
      </c>
      <c r="E27" s="95">
        <f>'DOE25'!H28</f>
        <v>3260.44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39473.299999999996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9657.59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201119.13999999998</v>
      </c>
      <c r="D31" s="41">
        <f>SUM(D21:D30)</f>
        <v>12852.19</v>
      </c>
      <c r="E31" s="41">
        <f>SUM(E21:E30)</f>
        <v>106849.79000000001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4527.47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1479.39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52260.9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79949.279999999999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566185.5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80164.509999999995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790640.82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952234</v>
      </c>
      <c r="D50" s="41">
        <f>SUM(D34:D49)</f>
        <v>56788.37</v>
      </c>
      <c r="E50" s="41">
        <f>SUM(E34:E49)</f>
        <v>0</v>
      </c>
      <c r="F50" s="41">
        <f>SUM(F34:F49)</f>
        <v>0</v>
      </c>
      <c r="G50" s="41">
        <f>SUM(G34:G49)</f>
        <v>566185.5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1153353.1399999999</v>
      </c>
      <c r="D51" s="41">
        <f>D50+D31</f>
        <v>69640.56</v>
      </c>
      <c r="E51" s="41">
        <f>E50+E31</f>
        <v>106849.79000000001</v>
      </c>
      <c r="F51" s="41">
        <f>F50+F31</f>
        <v>0</v>
      </c>
      <c r="G51" s="41">
        <f>G50+G31</f>
        <v>566185.5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16103828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10125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1292.17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8421.2000000000007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389276.89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449803.72</v>
      </c>
      <c r="D61" s="95">
        <f>SUM('DOE25'!G98:G110)</f>
        <v>2500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461220.88999999996</v>
      </c>
      <c r="D62" s="130">
        <f>SUM(D57:D61)</f>
        <v>391776.89</v>
      </c>
      <c r="E62" s="130">
        <f>SUM(E57:E61)</f>
        <v>0</v>
      </c>
      <c r="F62" s="130">
        <f>SUM(F57:F61)</f>
        <v>0</v>
      </c>
      <c r="G62" s="130">
        <f>SUM(G57:G61)</f>
        <v>8421.2000000000007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16565048.890000001</v>
      </c>
      <c r="D63" s="22">
        <f>D56+D62</f>
        <v>391776.89</v>
      </c>
      <c r="E63" s="22">
        <f>E56+E62</f>
        <v>0</v>
      </c>
      <c r="F63" s="22">
        <f>F56+F62</f>
        <v>0</v>
      </c>
      <c r="G63" s="22">
        <f>G56+G62</f>
        <v>8421.2000000000007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526281.54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4381395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4907676.54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657339.18000000005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290195.21000000002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18100.599999999999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4287.25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965634.99000000011</v>
      </c>
      <c r="D78" s="130">
        <f>SUM(D72:D77)</f>
        <v>4287.25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5873311.5300000003</v>
      </c>
      <c r="D81" s="130">
        <f>SUM(D79:D80)+D78+D70</f>
        <v>4287.25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120786.37000000001</v>
      </c>
      <c r="D88" s="95">
        <f>SUM('DOE25'!G153:G161)</f>
        <v>102690.22</v>
      </c>
      <c r="E88" s="95">
        <f>SUM('DOE25'!H153:H161)</f>
        <v>621020.62000000011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17071.5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120786.37000000001</v>
      </c>
      <c r="D91" s="131">
        <f>SUM(D85:D90)</f>
        <v>119761.72</v>
      </c>
      <c r="E91" s="131">
        <f>SUM(E85:E90)</f>
        <v>621020.62000000011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22559146.790000003</v>
      </c>
      <c r="D104" s="86">
        <f>D63+D81+D91+D103</f>
        <v>515825.86</v>
      </c>
      <c r="E104" s="86">
        <f>E63+E81+E91+E103</f>
        <v>621020.62000000011</v>
      </c>
      <c r="F104" s="86">
        <f>F63+F81+F91+F103</f>
        <v>0</v>
      </c>
      <c r="G104" s="86">
        <f>G63+G81+G103</f>
        <v>48421.2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8616567.0700000003</v>
      </c>
      <c r="D109" s="24" t="s">
        <v>289</v>
      </c>
      <c r="E109" s="95">
        <f>('DOE25'!L276)+('DOE25'!L295)+('DOE25'!L314)</f>
        <v>238133.46999999997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3003995.7700000005</v>
      </c>
      <c r="D110" s="24" t="s">
        <v>289</v>
      </c>
      <c r="E110" s="95">
        <f>('DOE25'!L277)+('DOE25'!L296)+('DOE25'!L315)</f>
        <v>255236.98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168568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840150.06</v>
      </c>
      <c r="D112" s="24" t="s">
        <v>289</v>
      </c>
      <c r="E112" s="95">
        <f>+('DOE25'!L279)+('DOE25'!L298)+('DOE25'!L317)</f>
        <v>14681.390000000001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91594.3</v>
      </c>
      <c r="D114" s="24" t="s">
        <v>289</v>
      </c>
      <c r="E114" s="95">
        <f>+ SUM('DOE25'!L333:L335)</f>
        <v>72955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12720875.200000001</v>
      </c>
      <c r="D115" s="86">
        <f>SUM(D109:D114)</f>
        <v>0</v>
      </c>
      <c r="E115" s="86">
        <f>SUM(E109:E114)</f>
        <v>581006.84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1254806.8199999998</v>
      </c>
      <c r="D118" s="24" t="s">
        <v>289</v>
      </c>
      <c r="E118" s="95">
        <f>+('DOE25'!L281)+('DOE25'!L300)+('DOE25'!L319)</f>
        <v>8597.85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1340712.3500000001</v>
      </c>
      <c r="D119" s="24" t="s">
        <v>289</v>
      </c>
      <c r="E119" s="95">
        <f>+('DOE25'!L282)+('DOE25'!L301)+('DOE25'!L320)</f>
        <v>12878.84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650584.08000000007</v>
      </c>
      <c r="D120" s="24" t="s">
        <v>289</v>
      </c>
      <c r="E120" s="95">
        <f>+('DOE25'!L283)+('DOE25'!L302)+('DOE25'!L321)</f>
        <v>17304.66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1030779.2199999999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2323258.2800000003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761417.26</v>
      </c>
      <c r="D124" s="24" t="s">
        <v>289</v>
      </c>
      <c r="E124" s="95">
        <f>+('DOE25'!L287)+('DOE25'!L306)+('DOE25'!L325)</f>
        <v>1232.43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9389.11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580867.38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7370947.1200000001</v>
      </c>
      <c r="D128" s="86">
        <f>SUM(D118:D127)</f>
        <v>580867.38</v>
      </c>
      <c r="E128" s="86">
        <f>SUM(E118:E127)</f>
        <v>40013.780000000006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139575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747543.5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48421.2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-8421.1999999999971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2122118.5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22213940.82</v>
      </c>
      <c r="D145" s="86">
        <f>(D115+D128+D144)</f>
        <v>580867.38</v>
      </c>
      <c r="E145" s="86">
        <f>(E115+E128+E144)</f>
        <v>621020.62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Aug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25484800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17030000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17030000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1942543.5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1942543.5</v>
      </c>
    </row>
    <row r="159" spans="1:9" x14ac:dyDescent="0.2">
      <c r="A159" s="22" t="s">
        <v>35</v>
      </c>
      <c r="B159" s="137">
        <f>'DOE25'!F498</f>
        <v>15835000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15835000</v>
      </c>
    </row>
    <row r="160" spans="1:9" x14ac:dyDescent="0.2">
      <c r="A160" s="22" t="s">
        <v>36</v>
      </c>
      <c r="B160" s="137">
        <f>'DOE25'!F499</f>
        <v>3856658.75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3856658.75</v>
      </c>
    </row>
    <row r="161" spans="1:7" x14ac:dyDescent="0.2">
      <c r="A161" s="22" t="s">
        <v>37</v>
      </c>
      <c r="B161" s="137">
        <f>'DOE25'!F500</f>
        <v>19691658.75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19691658.75</v>
      </c>
    </row>
    <row r="162" spans="1:7" x14ac:dyDescent="0.2">
      <c r="A162" s="22" t="s">
        <v>38</v>
      </c>
      <c r="B162" s="137">
        <f>'DOE25'!F501</f>
        <v>1255000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1255000</v>
      </c>
    </row>
    <row r="163" spans="1:7" x14ac:dyDescent="0.2">
      <c r="A163" s="22" t="s">
        <v>39</v>
      </c>
      <c r="B163" s="137">
        <f>'DOE25'!F502</f>
        <v>708293.5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708293.5</v>
      </c>
    </row>
    <row r="164" spans="1:7" x14ac:dyDescent="0.2">
      <c r="A164" s="22" t="s">
        <v>246</v>
      </c>
      <c r="B164" s="137">
        <f>'DOE25'!F503</f>
        <v>1963293.5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1963293.5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WINNACUNNET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17218</v>
      </c>
    </row>
    <row r="7" spans="1:4" x14ac:dyDescent="0.2">
      <c r="B7" t="s">
        <v>705</v>
      </c>
      <c r="C7" s="179">
        <f>IF('DOE25'!I665+'DOE25'!I670=0,0,ROUND('DOE25'!I672,0))</f>
        <v>17218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8854701</v>
      </c>
      <c r="D10" s="182">
        <f>ROUND((C10/$C$28)*100,1)</f>
        <v>40.9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3259233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168568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854831</v>
      </c>
      <c r="D13" s="182">
        <f>ROUND((C13/$C$28)*100,1)</f>
        <v>3.9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1263405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1353591</v>
      </c>
      <c r="D16" s="182">
        <f t="shared" si="0"/>
        <v>6.3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677278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1030779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2323258</v>
      </c>
      <c r="D20" s="182">
        <f t="shared" si="0"/>
        <v>10.7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762650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164549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747544</v>
      </c>
      <c r="D25" s="182">
        <f t="shared" si="0"/>
        <v>3.5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189090.11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21649477.109999999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139575</v>
      </c>
    </row>
    <row r="30" spans="1:4" x14ac:dyDescent="0.2">
      <c r="B30" s="187" t="s">
        <v>729</v>
      </c>
      <c r="C30" s="180">
        <f>SUM(C28:C29)</f>
        <v>21789052.109999999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1195000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16103828</v>
      </c>
      <c r="D35" s="182">
        <f t="shared" ref="D35:D40" si="1">ROUND((C35/$C$41)*100,1)</f>
        <v>69.099999999999994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469642.08999999985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4907677</v>
      </c>
      <c r="D37" s="182">
        <f t="shared" si="1"/>
        <v>21.1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969922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861569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23312638.09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2" sqref="C12:M1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WINNACUNNET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12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12</v>
      </c>
      <c r="C5" s="284" t="s">
        <v>913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914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5</v>
      </c>
      <c r="B7" s="219">
        <v>14</v>
      </c>
      <c r="C7" s="284" t="s">
        <v>915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2015-09-03T15:20:33Z</cp:lastPrinted>
  <dcterms:created xsi:type="dcterms:W3CDTF">1997-12-04T19:04:30Z</dcterms:created>
  <dcterms:modified xsi:type="dcterms:W3CDTF">2015-12-08T13:50:48Z</dcterms:modified>
</cp:coreProperties>
</file>