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30" windowWidth="12735" windowHeight="64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4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22" i="2" s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C111" i="2" s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L223" i="1"/>
  <c r="L241" i="1"/>
  <c r="C18" i="10" s="1"/>
  <c r="F14" i="13"/>
  <c r="G14" i="13"/>
  <c r="L207" i="1"/>
  <c r="L225" i="1"/>
  <c r="L243" i="1"/>
  <c r="F15" i="13"/>
  <c r="G15" i="13"/>
  <c r="L208" i="1"/>
  <c r="F662" i="1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C11" i="10" s="1"/>
  <c r="L316" i="1"/>
  <c r="E111" i="2" s="1"/>
  <c r="L317" i="1"/>
  <c r="L319" i="1"/>
  <c r="L320" i="1"/>
  <c r="L321" i="1"/>
  <c r="L322" i="1"/>
  <c r="L323" i="1"/>
  <c r="L324" i="1"/>
  <c r="L325" i="1"/>
  <c r="H662" i="1" s="1"/>
  <c r="L326" i="1"/>
  <c r="L333" i="1"/>
  <c r="L334" i="1"/>
  <c r="L335" i="1"/>
  <c r="L260" i="1"/>
  <c r="C131" i="2" s="1"/>
  <c r="L261" i="1"/>
  <c r="H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A31" i="12" s="1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3" i="1" s="1"/>
  <c r="C138" i="2" s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C25" i="10"/>
  <c r="L268" i="1"/>
  <c r="L269" i="1"/>
  <c r="L349" i="1"/>
  <c r="L350" i="1"/>
  <c r="I665" i="1"/>
  <c r="I670" i="1"/>
  <c r="F661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J552" i="1" s="1"/>
  <c r="E132" i="2"/>
  <c r="E131" i="2"/>
  <c r="K270" i="1"/>
  <c r="J270" i="1"/>
  <c r="I270" i="1"/>
  <c r="H270" i="1"/>
  <c r="G270" i="1"/>
  <c r="F270" i="1"/>
  <c r="C132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D31" i="2" s="1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C57" i="2"/>
  <c r="E57" i="2"/>
  <c r="C58" i="2"/>
  <c r="E58" i="2"/>
  <c r="C59" i="2"/>
  <c r="D59" i="2"/>
  <c r="E59" i="2"/>
  <c r="E62" i="2" s="1"/>
  <c r="E63" i="2" s="1"/>
  <c r="F59" i="2"/>
  <c r="D60" i="2"/>
  <c r="C61" i="2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E112" i="2"/>
  <c r="C113" i="2"/>
  <c r="E113" i="2"/>
  <c r="C114" i="2"/>
  <c r="E114" i="2"/>
  <c r="D115" i="2"/>
  <c r="F115" i="2"/>
  <c r="G115" i="2"/>
  <c r="E118" i="2"/>
  <c r="E119" i="2"/>
  <c r="E120" i="2"/>
  <c r="E121" i="2"/>
  <c r="E122" i="2"/>
  <c r="E123" i="2"/>
  <c r="E124" i="2"/>
  <c r="C125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F192" i="1" s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9" i="1" s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F460" i="1"/>
  <c r="G460" i="1"/>
  <c r="H460" i="1"/>
  <c r="F461" i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K545" i="1" s="1"/>
  <c r="F529" i="1"/>
  <c r="G529" i="1"/>
  <c r="H529" i="1"/>
  <c r="I529" i="1"/>
  <c r="J529" i="1"/>
  <c r="K529" i="1"/>
  <c r="F534" i="1"/>
  <c r="G534" i="1"/>
  <c r="H534" i="1"/>
  <c r="I534" i="1"/>
  <c r="J534" i="1"/>
  <c r="K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57" i="1"/>
  <c r="L558" i="1"/>
  <c r="L559" i="1"/>
  <c r="F560" i="1"/>
  <c r="G560" i="1"/>
  <c r="H560" i="1"/>
  <c r="H571" i="1" s="1"/>
  <c r="I560" i="1"/>
  <c r="J560" i="1"/>
  <c r="K560" i="1"/>
  <c r="L562" i="1"/>
  <c r="L563" i="1"/>
  <c r="L564" i="1"/>
  <c r="F565" i="1"/>
  <c r="F571" i="1" s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8" i="1" s="1"/>
  <c r="G647" i="1" s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20" i="1"/>
  <c r="G622" i="1"/>
  <c r="G623" i="1"/>
  <c r="G625" i="1"/>
  <c r="H627" i="1"/>
  <c r="H628" i="1"/>
  <c r="H629" i="1"/>
  <c r="H630" i="1"/>
  <c r="H631" i="1"/>
  <c r="H632" i="1"/>
  <c r="H633" i="1"/>
  <c r="G634" i="1"/>
  <c r="H635" i="1"/>
  <c r="H636" i="1"/>
  <c r="H637" i="1"/>
  <c r="H638" i="1"/>
  <c r="G639" i="1"/>
  <c r="H639" i="1"/>
  <c r="G641" i="1"/>
  <c r="H641" i="1"/>
  <c r="G643" i="1"/>
  <c r="H643" i="1"/>
  <c r="G644" i="1"/>
  <c r="H644" i="1"/>
  <c r="G645" i="1"/>
  <c r="H645" i="1"/>
  <c r="G649" i="1"/>
  <c r="J649" i="1" s="1"/>
  <c r="G651" i="1"/>
  <c r="J651" i="1" s="1"/>
  <c r="G652" i="1"/>
  <c r="H652" i="1"/>
  <c r="G653" i="1"/>
  <c r="H653" i="1"/>
  <c r="G654" i="1"/>
  <c r="H654" i="1"/>
  <c r="H655" i="1"/>
  <c r="L256" i="1"/>
  <c r="C26" i="10"/>
  <c r="L351" i="1"/>
  <c r="C70" i="2"/>
  <c r="A40" i="12"/>
  <c r="D62" i="2"/>
  <c r="D63" i="2" s="1"/>
  <c r="D18" i="13"/>
  <c r="C18" i="13" s="1"/>
  <c r="D17" i="13"/>
  <c r="C17" i="13" s="1"/>
  <c r="F78" i="2"/>
  <c r="F81" i="2" s="1"/>
  <c r="C78" i="2"/>
  <c r="C81" i="2" s="1"/>
  <c r="F18" i="2"/>
  <c r="E103" i="2"/>
  <c r="D91" i="2"/>
  <c r="D19" i="13"/>
  <c r="C19" i="13" s="1"/>
  <c r="E78" i="2"/>
  <c r="E81" i="2" s="1"/>
  <c r="L427" i="1"/>
  <c r="F112" i="1"/>
  <c r="J641" i="1"/>
  <c r="J639" i="1"/>
  <c r="J571" i="1"/>
  <c r="K571" i="1"/>
  <c r="L433" i="1"/>
  <c r="D81" i="2"/>
  <c r="I169" i="1"/>
  <c r="J643" i="1"/>
  <c r="J476" i="1"/>
  <c r="H626" i="1" s="1"/>
  <c r="H476" i="1"/>
  <c r="H624" i="1" s="1"/>
  <c r="I476" i="1"/>
  <c r="H625" i="1" s="1"/>
  <c r="J625" i="1" s="1"/>
  <c r="F169" i="1"/>
  <c r="J140" i="1"/>
  <c r="G22" i="2"/>
  <c r="C29" i="10"/>
  <c r="H140" i="1"/>
  <c r="L401" i="1"/>
  <c r="C139" i="2" s="1"/>
  <c r="F22" i="13"/>
  <c r="G192" i="1"/>
  <c r="H192" i="1"/>
  <c r="C35" i="10"/>
  <c r="E16" i="13"/>
  <c r="J655" i="1"/>
  <c r="L570" i="1"/>
  <c r="J636" i="1"/>
  <c r="G36" i="2"/>
  <c r="C22" i="13"/>
  <c r="C16" i="13"/>
  <c r="G164" i="2" l="1"/>
  <c r="G161" i="2"/>
  <c r="G461" i="1"/>
  <c r="H640" i="1" s="1"/>
  <c r="J640" i="1" s="1"/>
  <c r="A13" i="12"/>
  <c r="I460" i="1"/>
  <c r="I452" i="1"/>
  <c r="I446" i="1"/>
  <c r="G642" i="1" s="1"/>
  <c r="L544" i="1"/>
  <c r="K551" i="1"/>
  <c r="I552" i="1"/>
  <c r="H545" i="1"/>
  <c r="H552" i="1"/>
  <c r="G545" i="1"/>
  <c r="L534" i="1"/>
  <c r="G552" i="1"/>
  <c r="K550" i="1"/>
  <c r="L529" i="1"/>
  <c r="J545" i="1"/>
  <c r="I545" i="1"/>
  <c r="L524" i="1"/>
  <c r="F552" i="1"/>
  <c r="K549" i="1"/>
  <c r="I571" i="1"/>
  <c r="L565" i="1"/>
  <c r="L560" i="1"/>
  <c r="J624" i="1"/>
  <c r="E31" i="2"/>
  <c r="H52" i="1"/>
  <c r="H619" i="1" s="1"/>
  <c r="C21" i="10"/>
  <c r="C17" i="10"/>
  <c r="E128" i="2"/>
  <c r="G338" i="1"/>
  <c r="G352" i="1" s="1"/>
  <c r="L309" i="1"/>
  <c r="C15" i="10"/>
  <c r="L328" i="1"/>
  <c r="C12" i="10"/>
  <c r="L290" i="1"/>
  <c r="J338" i="1"/>
  <c r="J352" i="1" s="1"/>
  <c r="H338" i="1"/>
  <c r="H352" i="1" s="1"/>
  <c r="C10" i="10"/>
  <c r="F338" i="1"/>
  <c r="F352" i="1" s="1"/>
  <c r="E109" i="2"/>
  <c r="E115" i="2" s="1"/>
  <c r="F476" i="1"/>
  <c r="H622" i="1" s="1"/>
  <c r="J622" i="1" s="1"/>
  <c r="C18" i="2"/>
  <c r="J617" i="1"/>
  <c r="K500" i="1"/>
  <c r="G157" i="2"/>
  <c r="G156" i="2"/>
  <c r="C25" i="13"/>
  <c r="H33" i="13"/>
  <c r="C119" i="2"/>
  <c r="C121" i="2"/>
  <c r="C120" i="2"/>
  <c r="C109" i="2"/>
  <c r="D15" i="13"/>
  <c r="C15" i="13" s="1"/>
  <c r="C19" i="10"/>
  <c r="C110" i="2"/>
  <c r="C16" i="10"/>
  <c r="L211" i="1"/>
  <c r="L247" i="1"/>
  <c r="C20" i="10"/>
  <c r="J257" i="1"/>
  <c r="J271" i="1" s="1"/>
  <c r="F257" i="1"/>
  <c r="F271" i="1" s="1"/>
  <c r="I257" i="1"/>
  <c r="I271" i="1" s="1"/>
  <c r="C13" i="10"/>
  <c r="K257" i="1"/>
  <c r="K271" i="1" s="1"/>
  <c r="H257" i="1"/>
  <c r="H271" i="1" s="1"/>
  <c r="G257" i="1"/>
  <c r="G271" i="1" s="1"/>
  <c r="G662" i="1"/>
  <c r="I662" i="1" s="1"/>
  <c r="H647" i="1"/>
  <c r="J647" i="1" s="1"/>
  <c r="C124" i="2"/>
  <c r="G650" i="1"/>
  <c r="J650" i="1" s="1"/>
  <c r="D14" i="13"/>
  <c r="C14" i="13" s="1"/>
  <c r="C123" i="2"/>
  <c r="E13" i="13"/>
  <c r="C13" i="13" s="1"/>
  <c r="D12" i="13"/>
  <c r="C12" i="13" s="1"/>
  <c r="E8" i="13"/>
  <c r="C8" i="13" s="1"/>
  <c r="D7" i="13"/>
  <c r="C7" i="13" s="1"/>
  <c r="C118" i="2"/>
  <c r="D6" i="13"/>
  <c r="C6" i="13" s="1"/>
  <c r="D5" i="13"/>
  <c r="C5" i="13" s="1"/>
  <c r="L229" i="1"/>
  <c r="C112" i="2"/>
  <c r="J645" i="1"/>
  <c r="J644" i="1"/>
  <c r="C62" i="2"/>
  <c r="C63" i="2" s="1"/>
  <c r="C104" i="2" s="1"/>
  <c r="I369" i="1"/>
  <c r="H634" i="1" s="1"/>
  <c r="J634" i="1" s="1"/>
  <c r="D127" i="2"/>
  <c r="D128" i="2" s="1"/>
  <c r="D145" i="2" s="1"/>
  <c r="H661" i="1"/>
  <c r="D29" i="13"/>
  <c r="C29" i="13" s="1"/>
  <c r="G661" i="1"/>
  <c r="L362" i="1"/>
  <c r="C27" i="10" s="1"/>
  <c r="D50" i="2"/>
  <c r="G476" i="1"/>
  <c r="H623" i="1" s="1"/>
  <c r="J623" i="1" s="1"/>
  <c r="D18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L407" i="1"/>
  <c r="C140" i="2" s="1"/>
  <c r="C141" i="2" s="1"/>
  <c r="C144" i="2" s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G18" i="2" s="1"/>
  <c r="J19" i="1"/>
  <c r="G621" i="1" s="1"/>
  <c r="F545" i="1"/>
  <c r="H434" i="1"/>
  <c r="J620" i="1"/>
  <c r="J619" i="1"/>
  <c r="D103" i="2"/>
  <c r="D104" i="2" s="1"/>
  <c r="I140" i="1"/>
  <c r="I193" i="1" s="1"/>
  <c r="G630" i="1" s="1"/>
  <c r="J630" i="1" s="1"/>
  <c r="A22" i="12"/>
  <c r="G50" i="2"/>
  <c r="J652" i="1"/>
  <c r="G571" i="1"/>
  <c r="I434" i="1"/>
  <c r="G434" i="1"/>
  <c r="E104" i="2"/>
  <c r="I663" i="1"/>
  <c r="I461" i="1" l="1"/>
  <c r="H642" i="1" s="1"/>
  <c r="J642" i="1" s="1"/>
  <c r="G51" i="2"/>
  <c r="K552" i="1"/>
  <c r="L545" i="1"/>
  <c r="L571" i="1"/>
  <c r="E51" i="2"/>
  <c r="E145" i="2"/>
  <c r="H660" i="1"/>
  <c r="H664" i="1" s="1"/>
  <c r="H667" i="1" s="1"/>
  <c r="L338" i="1"/>
  <c r="L352" i="1" s="1"/>
  <c r="G633" i="1" s="1"/>
  <c r="J633" i="1" s="1"/>
  <c r="F660" i="1"/>
  <c r="F664" i="1" s="1"/>
  <c r="F672" i="1" s="1"/>
  <c r="C4" i="10" s="1"/>
  <c r="D31" i="13"/>
  <c r="C31" i="13" s="1"/>
  <c r="C115" i="2"/>
  <c r="L257" i="1"/>
  <c r="L271" i="1" s="1"/>
  <c r="G632" i="1" s="1"/>
  <c r="J632" i="1" s="1"/>
  <c r="H648" i="1"/>
  <c r="J648" i="1" s="1"/>
  <c r="C28" i="10"/>
  <c r="D24" i="10" s="1"/>
  <c r="C128" i="2"/>
  <c r="E33" i="13"/>
  <c r="D35" i="13" s="1"/>
  <c r="G660" i="1"/>
  <c r="H646" i="1"/>
  <c r="J646" i="1" s="1"/>
  <c r="I661" i="1"/>
  <c r="G635" i="1"/>
  <c r="J635" i="1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F667" i="1" l="1"/>
  <c r="I660" i="1"/>
  <c r="I664" i="1" s="1"/>
  <c r="I672" i="1" s="1"/>
  <c r="C7" i="10" s="1"/>
  <c r="D33" i="13"/>
  <c r="D36" i="13" s="1"/>
  <c r="H672" i="1"/>
  <c r="C6" i="10" s="1"/>
  <c r="C145" i="2"/>
  <c r="D26" i="10"/>
  <c r="D10" i="10"/>
  <c r="D23" i="10"/>
  <c r="C30" i="10"/>
  <c r="D16" i="10"/>
  <c r="D20" i="10"/>
  <c r="D15" i="10"/>
  <c r="D25" i="10"/>
  <c r="D19" i="10"/>
  <c r="D13" i="10"/>
  <c r="D11" i="10"/>
  <c r="D21" i="10"/>
  <c r="D22" i="10"/>
  <c r="D27" i="10"/>
  <c r="D18" i="10"/>
  <c r="D17" i="10"/>
  <c r="D12" i="10"/>
  <c r="G664" i="1"/>
  <c r="G672" i="1" s="1"/>
  <c r="C5" i="10" s="1"/>
  <c r="H656" i="1"/>
  <c r="C41" i="10"/>
  <c r="D38" i="10" s="1"/>
  <c r="D28" i="10" l="1"/>
  <c r="G667" i="1"/>
  <c r="I667" i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<sst xmlns="http://schemas.openxmlformats.org/spreadsheetml/2006/main" count="3960" uniqueCount="918">
  <si>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</si>
  <si>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</si>
  <si>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</si>
  <si>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</si>
  <si>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</si>
  <si>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</si>
  <si>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</si>
  <si>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</si>
  <si>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</si>
  <si>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</si>
  <si>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</si>
  <si>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</si>
  <si>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</si>
  <si>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</si>
  <si>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</si>
  <si>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</si>
  <si>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</si>
  <si>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</si>
  <si>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</si>
  <si>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</si>
  <si>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</si>
  <si>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</si>
  <si>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</si>
  <si>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</si>
  <si>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</si>
  <si>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</si>
  <si>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</si>
  <si>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</si>
  <si>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</si>
  <si>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</si>
  <si>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</si>
  <si>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</si>
  <si>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</si>
  <si>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</si>
  <si>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</si>
  <si>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</si>
  <si>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</si>
  <si>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</si>
  <si>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</si>
  <si>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</si>
  <si>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</si>
  <si>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</si>
  <si>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</si>
  <si>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</si>
  <si>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</si>
  <si>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</si>
  <si>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</si>
  <si>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</si>
  <si>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</si>
  <si>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</si>
  <si>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</si>
  <si>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</si>
  <si>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</si>
  <si>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</si>
  <si>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</si>
  <si>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</si>
  <si>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</si>
  <si>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</si>
  <si>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</si>
  <si>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</si>
  <si>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</si>
  <si>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</si>
  <si>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</si>
  <si>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</si>
  <si>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</si>
  <si>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</si>
  <si>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</si>
  <si>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</si>
  <si>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</si>
  <si>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</si>
  <si>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</si>
  <si>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</si>
  <si>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</si>
  <si>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</si>
  <si>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</si>
  <si>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</si>
  <si>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</si>
  <si>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</si>
  <si>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</si>
  <si>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</si>
  <si>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</si>
  <si>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</si>
  <si>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</si>
  <si>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</si>
  <si>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</si>
  <si>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</si>
  <si>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</si>
  <si>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</si>
  <si>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</si>
  <si>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</si>
  <si>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</si>
  <si>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</si>
  <si>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</si>
  <si>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</si>
  <si>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</si>
  <si>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</si>
  <si>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</si>
  <si>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</si>
  <si>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</si>
  <si>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</si>
  <si>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</si>
  <si>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</si>
  <si>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</si>
  <si>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</si>
  <si>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</si>
  <si>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</si>
  <si>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</si>
  <si>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</si>
  <si>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</si>
  <si>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</si>
  <si>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</si>
  <si>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</si>
  <si>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</si>
  <si>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</si>
  <si>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</si>
  <si>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</si>
  <si>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</si>
  <si>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</si>
  <si>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</si>
  <si>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</si>
  <si>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</si>
  <si>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</si>
  <si>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</si>
  <si>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</si>
  <si>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</si>
  <si>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</si>
  <si>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</si>
  <si>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</si>
  <si>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</si>
  <si>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</si>
  <si>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</si>
  <si>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</si>
  <si>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</si>
  <si>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</si>
  <si>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</si>
  <si>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</si>
  <si>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</si>
  <si>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</si>
  <si>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</si>
  <si>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</si>
  <si>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</si>
  <si>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</si>
  <si>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</si>
  <si>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</si>
  <si>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</si>
  <si>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</si>
  <si>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</si>
  <si>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</si>
  <si>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</si>
  <si>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</si>
  <si>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</si>
  <si>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</si>
  <si>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</si>
  <si>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</si>
  <si>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</si>
  <si>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</si>
  <si>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</si>
  <si>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</si>
  <si>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</si>
  <si>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</si>
  <si>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</si>
  <si>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</si>
  <si>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</si>
  <si>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</si>
  <si>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</si>
  <si>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</si>
  <si>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</si>
  <si>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</si>
  <si>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</si>
  <si>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</si>
  <si>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</si>
  <si>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</si>
  <si>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</si>
  <si>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</si>
  <si>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</si>
  <si>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</si>
  <si>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</si>
  <si>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</si>
  <si>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</si>
  <si>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</si>
  <si>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</si>
  <si>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</si>
  <si>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</si>
  <si>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</si>
  <si>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</si>
  <si>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</si>
  <si>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</si>
  <si>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</si>
  <si>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</si>
  <si>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</si>
  <si>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</si>
  <si>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</si>
  <si>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</si>
  <si>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</si>
  <si>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</si>
  <si>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</si>
  <si>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</si>
  <si>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</si>
  <si>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</si>
  <si>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</si>
  <si>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</si>
  <si>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</si>
  <si>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</si>
  <si>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</si>
  <si>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</si>
  <si>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</si>
  <si>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</si>
  <si>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</si>
  <si>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</si>
  <si>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</si>
  <si>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</si>
  <si>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</si>
  <si>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</si>
  <si>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</si>
  <si>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</si>
  <si>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</si>
  <si>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</si>
  <si>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</si>
  <si>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</si>
  <si>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</si>
  <si>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</si>
  <si>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</si>
  <si>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</si>
  <si>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</si>
  <si>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</si>
  <si>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</si>
  <si>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</si>
  <si>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</si>
  <si>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</si>
  <si>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</si>
  <si>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</si>
  <si>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</si>
  <si>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</si>
  <si>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</si>
  <si>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</si>
  <si>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</si>
  <si>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</si>
  <si>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</si>
  <si>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</si>
  <si>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</si>
  <si>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</si>
  <si>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</si>
  <si>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</si>
  <si>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</si>
  <si>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</si>
  <si>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</si>
  <si>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</si>
  <si>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</si>
  <si>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</si>
  <si>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</si>
  <si>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</si>
  <si>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</si>
  <si>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</si>
  <si>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</si>
  <si>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</si>
  <si>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</si>
  <si>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</si>
  <si>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</si>
  <si>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</si>
  <si>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</si>
  <si>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</si>
  <si>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</si>
  <si>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</si>
  <si>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</si>
  <si>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</si>
  <si>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</si>
  <si>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</si>
  <si>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</si>
  <si>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</si>
  <si>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</si>
  <si>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</si>
  <si>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</si>
  <si>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</si>
  <si>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</si>
  <si>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</si>
  <si>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</si>
  <si>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</si>
  <si>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</si>
  <si>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</si>
  <si>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</si>
  <si>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</si>
  <si>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</si>
  <si>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</si>
  <si>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</si>
  <si>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</si>
  <si>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</si>
  <si>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</si>
  <si>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</si>
  <si>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</si>
  <si>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</si>
  <si>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</si>
  <si>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</si>
  <si>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</si>
  <si>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</si>
  <si>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</si>
  <si>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</si>
  <si>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</si>
  <si>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</si>
  <si>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</si>
  <si>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</si>
  <si>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</si>
  <si>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</si>
  <si>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</si>
  <si>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</si>
  <si>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</si>
  <si>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</si>
  <si>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</si>
  <si>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</si>
  <si>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</si>
  <si>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</si>
  <si>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</si>
  <si>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</si>
  <si>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</si>
  <si>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</si>
  <si>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</si>
  <si>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</si>
  <si>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</si>
  <si>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</si>
  <si>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</si>
  <si>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</si>
  <si>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</si>
  <si>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</si>
  <si>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</si>
  <si>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</si>
  <si>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</si>
  <si>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</si>
  <si>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</si>
  <si>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</si>
  <si>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</si>
  <si>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</si>
  <si>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</si>
  <si>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</si>
  <si>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</si>
  <si>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</si>
  <si>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</si>
  <si>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</si>
  <si>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</si>
  <si>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</si>
  <si>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</si>
  <si>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</si>
  <si>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</si>
  <si>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</si>
  <si>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</si>
  <si>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</si>
  <si>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</si>
  <si>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</si>
  <si>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</si>
  <si>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</si>
  <si>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</si>
  <si>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</si>
  <si>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</si>
  <si>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</si>
  <si>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</si>
  <si>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</si>
  <si>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</si>
  <si>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</si>
  <si>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</si>
  <si>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</si>
  <si>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</si>
  <si>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</si>
  <si>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</si>
  <si>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</si>
  <si>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</si>
  <si>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</si>
  <si>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</si>
  <si>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</si>
  <si>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</si>
  <si>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</si>
  <si>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</si>
  <si>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</si>
  <si>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</si>
  <si>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</si>
  <si>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</si>
  <si>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</si>
  <si>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</si>
  <si>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</si>
  <si>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</si>
  <si>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</si>
  <si>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</si>
  <si>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</si>
  <si>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</si>
  <si>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</si>
  <si>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</si>
  <si>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</si>
  <si>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</si>
  <si>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</si>
  <si>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</si>
  <si>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</si>
  <si>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</si>
  <si>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</si>
  <si>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</si>
  <si>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</si>
  <si>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</si>
  <si>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</si>
  <si>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</si>
  <si>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</si>
  <si>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</si>
  <si>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</si>
  <si>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</si>
  <si>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</si>
  <si>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</si>
  <si>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</si>
  <si>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</si>
  <si>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</si>
  <si>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</si>
  <si>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</si>
  <si>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</si>
  <si>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</si>
  <si>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</si>
  <si>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</si>
  <si>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</si>
  <si>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</si>
  <si>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</si>
  <si>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</si>
  <si>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</si>
  <si>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</si>
  <si>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</si>
  <si>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</si>
  <si>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</si>
  <si>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</si>
  <si>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</si>
  <si>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</si>
  <si>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</si>
  <si>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</si>
  <si>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</si>
  <si>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</si>
  <si>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</si>
  <si>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</si>
  <si>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</si>
  <si>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</si>
  <si>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</si>
  <si>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</si>
  <si>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</si>
  <si>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</si>
  <si>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</si>
  <si>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</si>
  <si>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</si>
  <si>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</si>
  <si>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</si>
  <si>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</si>
  <si>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</si>
  <si>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</si>
  <si>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</si>
  <si>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</si>
  <si>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</si>
  <si>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</si>
  <si>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</si>
  <si>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</si>
  <si>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</si>
  <si>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</si>
  <si>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</si>
  <si>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</si>
  <si>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</si>
  <si>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</si>
  <si>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</si>
  <si>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</si>
  <si>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</si>
  <si>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</si>
  <si>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</si>
  <si>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</si>
  <si>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</si>
  <si>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</si>
  <si>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</si>
  <si>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</si>
  <si>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</si>
  <si>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</si>
  <si>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</si>
  <si>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</si>
  <si>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</si>
  <si>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</si>
  <si>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</si>
  <si>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</si>
  <si>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</si>
  <si>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</si>
  <si>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</si>
  <si>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</si>
  <si>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</si>
  <si>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</si>
  <si>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</si>
  <si>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</si>
  <si>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</si>
  <si>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</si>
  <si>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</si>
  <si>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</si>
  <si>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</si>
  <si>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</si>
  <si>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</si>
  <si>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</si>
  <si>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</si>
  <si>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</si>
  <si>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</si>
  <si>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</si>
  <si>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</si>
  <si>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</si>
  <si>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</si>
  <si>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</si>
  <si>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</si>
  <si>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</si>
  <si>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</si>
  <si>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</si>
  <si>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</si>
  <si>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</si>
  <si>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</si>
  <si>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</si>
  <si>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</si>
  <si>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</si>
  <si>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</si>
  <si>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</si>
  <si>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</si>
  <si>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</si>
  <si>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</si>
  <si>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</si>
  <si>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</si>
  <si>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</si>
  <si>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</si>
  <si>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</si>
  <si>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</si>
  <si>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</si>
  <si>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</si>
  <si>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</si>
  <si>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</si>
  <si>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</si>
  <si>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</si>
  <si>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</si>
  <si>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</si>
  <si>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</si>
  <si>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</si>
  <si>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</si>
  <si>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</si>
  <si>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</si>
  <si>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</si>
  <si>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</si>
  <si>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</si>
  <si>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</si>
  <si>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</si>
  <si>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</si>
  <si>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</si>
  <si>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</si>
  <si>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</si>
  <si>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</si>
  <si>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</si>
  <si>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</si>
  <si>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</si>
  <si>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</si>
  <si>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</si>
  <si>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</si>
  <si>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</si>
  <si>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</si>
  <si>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</si>
  <si>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</si>
  <si>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</si>
  <si>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</si>
  <si>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</si>
  <si>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</si>
  <si>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</si>
  <si>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</si>
  <si>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</si>
  <si>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</si>
  <si>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</si>
  <si>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</si>
  <si>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</si>
  <si>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</si>
  <si>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</si>
  <si>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</si>
  <si>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</si>
  <si>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</si>
  <si>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</si>
  <si>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</si>
  <si>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</si>
  <si>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</si>
  <si>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</si>
  <si>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</si>
  <si>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</si>
  <si>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</si>
  <si>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</si>
  <si>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</si>
  <si>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</si>
  <si>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</si>
  <si>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</si>
  <si>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</si>
  <si>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</si>
  <si>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</si>
  <si>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</si>
  <si>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</si>
  <si>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</si>
  <si>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</si>
  <si>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</si>
  <si>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</si>
  <si>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</si>
  <si>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</si>
  <si>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</si>
  <si>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</si>
  <si>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</si>
  <si>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</si>
  <si>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</si>
  <si>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</si>
  <si>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</si>
  <si>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</si>
  <si>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</si>
  <si>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</si>
  <si>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</si>
  <si>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</si>
  <si>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</si>
  <si>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</si>
  <si>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</si>
  <si>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</si>
  <si>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</si>
  <si>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</si>
  <si>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</si>
  <si>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</si>
  <si>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</si>
  <si>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</si>
  <si>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</si>
  <si>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</si>
  <si>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</si>
  <si>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</si>
  <si>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</si>
  <si>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</si>
  <si>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</si>
  <si>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</si>
  <si>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</si>
  <si>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</si>
  <si>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</si>
  <si>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</si>
  <si>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</si>
  <si>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</si>
  <si>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</si>
  <si>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</si>
  <si>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</si>
  <si>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</si>
  <si>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</si>
  <si>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</si>
  <si>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</si>
  <si>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</si>
  <si>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</si>
  <si>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</si>
  <si>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</si>
  <si>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</si>
  <si>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</si>
  <si>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</si>
  <si>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</si>
  <si>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</si>
  <si>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</si>
  <si>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</si>
  <si>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</si>
  <si>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</si>
  <si>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</si>
  <si>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</si>
  <si>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</si>
  <si>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</si>
  <si>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</si>
  <si>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</si>
  <si>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</si>
  <si>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</si>
  <si>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</si>
  <si>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</si>
  <si>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</si>
  <si>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</si>
  <si>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</si>
  <si>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</si>
  <si>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</si>
  <si>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</si>
  <si>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</si>
  <si>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</si>
  <si>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</si>
  <si>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</si>
  <si>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</si>
  <si>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</si>
  <si>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</si>
  <si>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</si>
  <si>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</si>
  <si>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</si>
  <si>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</si>
  <si>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</si>
  <si>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</si>
  <si>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</si>
  <si>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</si>
  <si>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</si>
  <si>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</si>
  <si>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</si>
  <si>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</si>
  <si>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</si>
  <si>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</si>
  <si>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</si>
  <si>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</si>
  <si>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</si>
  <si>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</si>
  <si>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</si>
  <si>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</si>
  <si>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</si>
  <si>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</si>
  <si>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</si>
  <si>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</si>
  <si>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</si>
  <si>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</si>
  <si>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</si>
  <si>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</si>
  <si>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</si>
  <si>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</si>
  <si>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</si>
  <si>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</si>
  <si>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</si>
  <si>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</si>
  <si>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</si>
  <si>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</si>
  <si>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</si>
  <si>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</si>
  <si>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</si>
  <si>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</si>
  <si>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</si>
  <si>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</si>
  <si>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</si>
  <si>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</si>
  <si>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</si>
  <si>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</si>
  <si>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</si>
  <si>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</si>
  <si>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</si>
  <si>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</si>
  <si>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</si>
  <si>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</si>
  <si>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</si>
  <si>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</si>
  <si>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</si>
  <si>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</si>
  <si>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</si>
  <si>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</si>
  <si>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</si>
  <si>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</si>
  <si>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</si>
  <si>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</si>
  <si>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</si>
  <si>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</si>
  <si>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</si>
  <si>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</si>
  <si>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</si>
  <si>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</si>
  <si>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</si>
  <si>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</si>
  <si>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</si>
  <si>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</si>
  <si>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</si>
  <si>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</si>
  <si>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</si>
  <si>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</si>
  <si>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</si>
  <si>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</si>
  <si>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</si>
  <si>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</si>
  <si>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</si>
  <si>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</si>
  <si>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</si>
  <si>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</si>
  <si>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</si>
  <si>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</si>
  <si>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</si>
  <si>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</si>
  <si>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</si>
  <si>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</si>
  <si>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</si>
  <si>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</si>
  <si>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</si>
  <si>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</si>
  <si>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</si>
  <si>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</si>
  <si>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</si>
  <si>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</si>
  <si>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</si>
  <si>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</si>
  <si>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</si>
  <si>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</si>
  <si>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</si>
  <si>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</si>
  <si>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</si>
  <si>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</si>
  <si>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</si>
  <si>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</si>
  <si>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</si>
  <si>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</si>
  <si>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</si>
  <si>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</si>
  <si>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</si>
  <si>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</si>
  <si>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</si>
  <si>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</si>
  <si>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</si>
  <si>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</si>
  <si>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</si>
  <si>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</si>
  <si>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</si>
  <si>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</si>
  <si>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</si>
  <si>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</si>
  <si>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</si>
  <si>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</si>
  <si>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</si>
  <si>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</si>
  <si>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</si>
  <si>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</si>
  <si>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</si>
  <si>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</si>
  <si>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</si>
  <si>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</si>
  <si>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</si>
  <si>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</si>
  <si>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</si>
  <si>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</si>
  <si>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</si>
  <si>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</si>
  <si>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</si>
  <si>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</si>
  <si>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</si>
  <si>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</si>
  <si>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</si>
  <si>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</si>
  <si>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</si>
  <si>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</si>
  <si>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</si>
  <si>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</si>
  <si>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</si>
  <si>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</si>
  <si>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</si>
  <si>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</si>
  <si>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</si>
  <si>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</si>
  <si>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</si>
  <si>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</si>
  <si>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</si>
  <si>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</si>
  <si>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</si>
  <si>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</si>
  <si>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</si>
  <si>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</si>
  <si>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</si>
  <si>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</si>
  <si>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</si>
  <si>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</si>
  <si>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</si>
  <si>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</si>
  <si>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</si>
  <si>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</si>
  <si>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</si>
  <si>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</si>
  <si>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</si>
  <si>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</si>
  <si>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</si>
  <si>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</si>
  <si>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</si>
  <si>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</si>
  <si>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</si>
  <si>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</si>
  <si>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</si>
  <si>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</si>
  <si>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</si>
  <si>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</si>
  <si>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</si>
  <si>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</si>
  <si>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</si>
  <si>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</si>
  <si>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</si>
  <si>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</si>
  <si>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</si>
  <si>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</si>
  <si>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</si>
  <si>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</si>
  <si>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</si>
  <si>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</si>
  <si>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</si>
  <si>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</si>
  <si>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</si>
  <si>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</si>
  <si>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</si>
  <si>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</si>
  <si>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</si>
  <si>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</si>
  <si>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</si>
  <si>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</si>
  <si>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</si>
  <si>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</si>
  <si>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</si>
  <si>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</si>
  <si>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</si>
  <si>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</si>
  <si>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</si>
  <si>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</si>
  <si>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</si>
  <si>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</si>
  <si>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</si>
  <si>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</si>
  <si>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</si>
  <si>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</si>
  <si>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</si>
  <si>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</si>
  <si>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</si>
  <si>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</si>
  <si>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</si>
  <si>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</si>
  <si>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</si>
  <si>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</si>
  <si>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</si>
  <si>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</si>
  <si>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</si>
  <si>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</si>
  <si>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</si>
  <si>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</si>
  <si>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</si>
  <si>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</si>
  <si>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</si>
  <si>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</si>
  <si>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</si>
  <si>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</si>
  <si>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1/03</t>
  </si>
  <si>
    <t>1/15</t>
  </si>
  <si>
    <t>8/21</t>
  </si>
  <si>
    <t>12/25</t>
  </si>
  <si>
    <t>3/11</t>
  </si>
  <si>
    <t>11/19</t>
  </si>
  <si>
    <t>WINNISQUAM REGIONAL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</si>
</sst>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32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917</v>
      </c>
      <c r="B2" s="21">
        <v>582</v>
      </c>
      <c r="C2" s="21">
        <v>0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1315571.24</v>
      </c>
      <c r="G9" s="18">
        <v>2854.52</v>
      </c>
      <c r="H9" s="18">
        <v>18474.97</v>
      </c>
      <c r="I9" s="18"/>
      <c r="J9" s="67">
        <f>SUM(I439)</f>
        <v>1594546.91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v>839538.59</v>
      </c>
      <c r="G12" s="18">
        <v>182871.88</v>
      </c>
      <c r="H12" s="18">
        <v>1075.55</v>
      </c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>
        <v>3191.17</v>
      </c>
      <c r="G13" s="18">
        <v>24124.73</v>
      </c>
      <c r="H13" s="18">
        <v>337794.72</v>
      </c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68442.509999999995</v>
      </c>
      <c r="G14" s="18">
        <v>2361.39</v>
      </c>
      <c r="H14" s="18">
        <v>1771.26</v>
      </c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>
        <v>5175</v>
      </c>
      <c r="G17" s="18"/>
      <c r="H17" s="18"/>
      <c r="I17" s="18"/>
      <c r="J17" s="67">
        <f>SUM(I444)</f>
        <v>5993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2231918.5099999998</v>
      </c>
      <c r="G19" s="41">
        <f>SUM(G9:G18)</f>
        <v>212212.52000000002</v>
      </c>
      <c r="H19" s="41">
        <f>SUM(H9:H18)</f>
        <v>359116.5</v>
      </c>
      <c r="I19" s="41">
        <f>SUM(I9:I18)</f>
        <v>0</v>
      </c>
      <c r="J19" s="41">
        <f>SUM(J9:J18)</f>
        <v>1600539.91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/>
      <c r="G22" s="18"/>
      <c r="H22" s="18">
        <v>329403.65999999997</v>
      </c>
      <c r="I22" s="18"/>
      <c r="J22" s="67">
        <f>SUM(I448)</f>
        <v>690185.22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v>190733.36</v>
      </c>
      <c r="G24" s="18"/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137080.19</v>
      </c>
      <c r="G28" s="18">
        <v>4520.38</v>
      </c>
      <c r="H28" s="18"/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424459.89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>
        <v>8472.2199999999993</v>
      </c>
      <c r="H30" s="18">
        <v>10016.19</v>
      </c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752273.44</v>
      </c>
      <c r="G32" s="41">
        <f>SUM(G22:G31)</f>
        <v>12992.599999999999</v>
      </c>
      <c r="H32" s="41">
        <f>SUM(H22:H31)</f>
        <v>339419.85</v>
      </c>
      <c r="I32" s="41">
        <f>SUM(I22:I31)</f>
        <v>0</v>
      </c>
      <c r="J32" s="41">
        <f>SUM(J22:J31)</f>
        <v>690185.22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>
        <v>490000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/>
      <c r="G48" s="18">
        <v>193321.77</v>
      </c>
      <c r="H48" s="18">
        <v>19696.650000000001</v>
      </c>
      <c r="I48" s="18"/>
      <c r="J48" s="13">
        <f>SUM(I459)</f>
        <v>910354.69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342638.22-8000</f>
        <v>334638.21999999997</v>
      </c>
      <c r="G49" s="18">
        <v>5898.15</v>
      </c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647006.85+8000</f>
        <v>655006.85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1479645.0699999998</v>
      </c>
      <c r="G51" s="41">
        <f>SUM(G35:G50)</f>
        <v>199219.91999999998</v>
      </c>
      <c r="H51" s="41">
        <f>SUM(H35:H50)</f>
        <v>19696.650000000001</v>
      </c>
      <c r="I51" s="41">
        <f>SUM(I35:I50)</f>
        <v>0</v>
      </c>
      <c r="J51" s="41">
        <f>SUM(J35:J50)</f>
        <v>910354.69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2231918.5099999998</v>
      </c>
      <c r="G52" s="41">
        <f>G51+G32</f>
        <v>212212.52</v>
      </c>
      <c r="H52" s="41">
        <f>H51+H32</f>
        <v>359116.5</v>
      </c>
      <c r="I52" s="41">
        <f>I51+I32</f>
        <v>0</v>
      </c>
      <c r="J52" s="41">
        <f>J51+J32</f>
        <v>1600539.91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v>12867834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>
        <v>3636</v>
      </c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12871470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>
        <v>365</v>
      </c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>
        <v>181624.3</v>
      </c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>
        <v>34899.949999999997</v>
      </c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216889.25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5504.88</v>
      </c>
      <c r="G96" s="18"/>
      <c r="H96" s="18">
        <v>15.36</v>
      </c>
      <c r="I96" s="18"/>
      <c r="J96" s="18">
        <v>2186.15</v>
      </c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v>310757.57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>
        <v>2440.79</v>
      </c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>
        <v>2265</v>
      </c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>
        <v>3750.6</v>
      </c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213994.58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v>206459.24</v>
      </c>
      <c r="G110" s="18"/>
      <c r="H110" s="18">
        <v>8891.11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430664.49</v>
      </c>
      <c r="G111" s="41">
        <f>SUM(G96:G110)</f>
        <v>310757.57</v>
      </c>
      <c r="H111" s="41">
        <f>SUM(H96:H110)</f>
        <v>12657.07</v>
      </c>
      <c r="I111" s="41">
        <f>SUM(I96:I110)</f>
        <v>0</v>
      </c>
      <c r="J111" s="41">
        <f>SUM(J96:J110)</f>
        <v>2186.15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13519023.74</v>
      </c>
      <c r="G112" s="41">
        <f>G60+G111</f>
        <v>310757.57</v>
      </c>
      <c r="H112" s="41">
        <f>H60+H79+H94+H111</f>
        <v>12657.07</v>
      </c>
      <c r="I112" s="41">
        <f>I60+I111</f>
        <v>0</v>
      </c>
      <c r="J112" s="41">
        <f>J60+J111</f>
        <v>2186.15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6267923.3399999999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2820029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>
        <v>9426.41</v>
      </c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9087952.3399999999</v>
      </c>
      <c r="G121" s="41">
        <f>SUM(G117:G120)</f>
        <v>9426.41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847128.46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303145.95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>
        <v>47638.76</v>
      </c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>
        <v>18788</v>
      </c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/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>
        <v>3763.96</v>
      </c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1220465.1299999999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>
        <v>57580.52</v>
      </c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10308417.469999999</v>
      </c>
      <c r="G140" s="41">
        <f>G121+SUM(G136:G137)</f>
        <v>9426.41</v>
      </c>
      <c r="H140" s="41">
        <f>H121+SUM(H136:H139)</f>
        <v>57580.52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>
        <v>583245.72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>
        <v>153395.76</v>
      </c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>
        <v>26714.67</v>
      </c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v>311891.12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375350.95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349327.66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349327.66</v>
      </c>
      <c r="G162" s="41">
        <f>SUM(G150:G161)</f>
        <v>311891.12</v>
      </c>
      <c r="H162" s="41">
        <f>SUM(H150:H161)</f>
        <v>1138707.1000000001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349327.66</v>
      </c>
      <c r="G169" s="41">
        <f>G147+G162+SUM(G163:G168)</f>
        <v>311891.12</v>
      </c>
      <c r="H169" s="41">
        <f>H147+H162+SUM(H163:H168)</f>
        <v>1138707.1000000001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5967.97</v>
      </c>
      <c r="H179" s="18"/>
      <c r="I179" s="18"/>
      <c r="J179" s="18">
        <v>450000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>
        <v>1242.4000000000001</v>
      </c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1242.4000000000001</v>
      </c>
      <c r="G183" s="41">
        <f>SUM(G179:G182)</f>
        <v>5967.97</v>
      </c>
      <c r="H183" s="41">
        <f>SUM(H179:H182)</f>
        <v>0</v>
      </c>
      <c r="I183" s="41">
        <f>SUM(I179:I182)</f>
        <v>0</v>
      </c>
      <c r="J183" s="41">
        <f>SUM(J179:J182)</f>
        <v>450000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1242.4000000000001</v>
      </c>
      <c r="G192" s="41">
        <f>G183+SUM(G188:G191)</f>
        <v>5967.97</v>
      </c>
      <c r="H192" s="41">
        <f>+H183+SUM(H188:H191)</f>
        <v>0</v>
      </c>
      <c r="I192" s="41">
        <f>I177+I183+SUM(I188:I191)</f>
        <v>0</v>
      </c>
      <c r="J192" s="41">
        <f>J183</f>
        <v>450000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24178011.27</v>
      </c>
      <c r="G193" s="47">
        <f>G112+G140+G169+G192</f>
        <v>638043.06999999995</v>
      </c>
      <c r="H193" s="47">
        <f>H112+H140+H169+H192</f>
        <v>1208944.6900000002</v>
      </c>
      <c r="I193" s="47">
        <f>I112+I140+I169+I192</f>
        <v>0</v>
      </c>
      <c r="J193" s="47">
        <f>J112+J140+J192</f>
        <v>452186.15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v>2418211.8399999999</v>
      </c>
      <c r="G197" s="18">
        <v>1068794.03</v>
      </c>
      <c r="H197" s="18">
        <v>2694.71</v>
      </c>
      <c r="I197" s="18">
        <v>79861.73</v>
      </c>
      <c r="J197" s="18">
        <v>12099.14</v>
      </c>
      <c r="K197" s="18">
        <v>69</v>
      </c>
      <c r="L197" s="19">
        <f>SUM(F197:K197)</f>
        <v>3581730.45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v>832074.28</v>
      </c>
      <c r="G198" s="18">
        <v>317159.8</v>
      </c>
      <c r="H198" s="18">
        <v>368315.26</v>
      </c>
      <c r="I198" s="18">
        <v>4601.34</v>
      </c>
      <c r="J198" s="18">
        <v>15586.65</v>
      </c>
      <c r="K198" s="18">
        <v>222.82</v>
      </c>
      <c r="L198" s="19">
        <f>SUM(F198:K198)</f>
        <v>1537960.1500000001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>
        <v>3000.08</v>
      </c>
      <c r="G200" s="18">
        <v>541.19000000000005</v>
      </c>
      <c r="H200" s="18"/>
      <c r="I200" s="18"/>
      <c r="J200" s="18"/>
      <c r="K200" s="18"/>
      <c r="L200" s="19">
        <f>SUM(F200:K200)</f>
        <v>3541.27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v>375434.01</v>
      </c>
      <c r="G202" s="18">
        <v>184036.54</v>
      </c>
      <c r="H202" s="18">
        <v>40881.17</v>
      </c>
      <c r="I202" s="18">
        <v>5298.51</v>
      </c>
      <c r="J202" s="18">
        <v>1554.75</v>
      </c>
      <c r="K202" s="18">
        <v>377</v>
      </c>
      <c r="L202" s="19">
        <f t="shared" ref="L202:L208" si="0">SUM(F202:K202)</f>
        <v>607581.9800000001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v>80283.55</v>
      </c>
      <c r="G203" s="18">
        <v>76881.09</v>
      </c>
      <c r="H203" s="18">
        <v>25566.04</v>
      </c>
      <c r="I203" s="18">
        <v>17393.5</v>
      </c>
      <c r="J203" s="18"/>
      <c r="K203" s="18">
        <v>228.85</v>
      </c>
      <c r="L203" s="19">
        <f t="shared" si="0"/>
        <v>200353.03000000003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v>304137.27</v>
      </c>
      <c r="G204" s="18">
        <v>119079.81</v>
      </c>
      <c r="H204" s="18">
        <v>162315.46</v>
      </c>
      <c r="I204" s="18">
        <v>15244.82</v>
      </c>
      <c r="J204" s="18">
        <v>88294.15</v>
      </c>
      <c r="K204" s="18">
        <v>4107.04</v>
      </c>
      <c r="L204" s="19">
        <f t="shared" si="0"/>
        <v>693178.55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438366.05</v>
      </c>
      <c r="G205" s="18">
        <v>180330.88</v>
      </c>
      <c r="H205" s="18">
        <v>12260.8</v>
      </c>
      <c r="I205" s="18">
        <v>1403.08</v>
      </c>
      <c r="J205" s="18"/>
      <c r="K205" s="18">
        <v>2347.5</v>
      </c>
      <c r="L205" s="19">
        <f t="shared" si="0"/>
        <v>634708.30999999994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>
        <v>97802.15</v>
      </c>
      <c r="G206" s="18">
        <v>45006.45</v>
      </c>
      <c r="H206" s="18"/>
      <c r="I206" s="18"/>
      <c r="J206" s="18"/>
      <c r="K206" s="18"/>
      <c r="L206" s="19">
        <f t="shared" si="0"/>
        <v>142808.59999999998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294904.02</v>
      </c>
      <c r="G207" s="18">
        <v>157946.06</v>
      </c>
      <c r="H207" s="18">
        <v>386308.51</v>
      </c>
      <c r="I207" s="18">
        <v>229057.14</v>
      </c>
      <c r="J207" s="18">
        <v>94384.48</v>
      </c>
      <c r="K207" s="18">
        <v>517.16</v>
      </c>
      <c r="L207" s="19">
        <f t="shared" si="0"/>
        <v>1163117.3699999999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353321.59</v>
      </c>
      <c r="I208" s="18">
        <v>119753.31</v>
      </c>
      <c r="J208" s="18"/>
      <c r="K208" s="18"/>
      <c r="L208" s="19">
        <f t="shared" si="0"/>
        <v>473074.9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4844213.25</v>
      </c>
      <c r="G211" s="41">
        <f t="shared" si="1"/>
        <v>2149775.85</v>
      </c>
      <c r="H211" s="41">
        <f t="shared" si="1"/>
        <v>1351663.54</v>
      </c>
      <c r="I211" s="41">
        <f t="shared" si="1"/>
        <v>472613.43</v>
      </c>
      <c r="J211" s="41">
        <f t="shared" si="1"/>
        <v>211919.16999999998</v>
      </c>
      <c r="K211" s="41">
        <f t="shared" si="1"/>
        <v>7869.37</v>
      </c>
      <c r="L211" s="41">
        <f t="shared" si="1"/>
        <v>9038054.6099999994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>
        <v>1306110.47</v>
      </c>
      <c r="G215" s="18">
        <v>558006.81000000006</v>
      </c>
      <c r="H215" s="18"/>
      <c r="I215" s="18">
        <v>49539.9</v>
      </c>
      <c r="J215" s="18">
        <v>22178.16</v>
      </c>
      <c r="K215" s="18">
        <v>712.3</v>
      </c>
      <c r="L215" s="19">
        <f>SUM(F215:K215)</f>
        <v>1936547.64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>
        <v>305885.62</v>
      </c>
      <c r="G216" s="18">
        <v>106755.15</v>
      </c>
      <c r="H216" s="18">
        <v>239279.9</v>
      </c>
      <c r="I216" s="18">
        <v>2933.58</v>
      </c>
      <c r="J216" s="18">
        <v>12186.25</v>
      </c>
      <c r="K216" s="18">
        <v>128.99</v>
      </c>
      <c r="L216" s="19">
        <f>SUM(F216:K216)</f>
        <v>667169.49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>
        <v>94891.43</v>
      </c>
      <c r="G218" s="18">
        <v>27235.98</v>
      </c>
      <c r="H218" s="18">
        <v>22803.5</v>
      </c>
      <c r="I218" s="18">
        <v>8812.39</v>
      </c>
      <c r="J218" s="18">
        <v>5193.16</v>
      </c>
      <c r="K218" s="18">
        <v>3279.25</v>
      </c>
      <c r="L218" s="19">
        <f>SUM(F218:K218)</f>
        <v>162215.71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>
        <v>213106.89</v>
      </c>
      <c r="G220" s="18">
        <v>95899.51</v>
      </c>
      <c r="H220" s="18">
        <v>60698.62</v>
      </c>
      <c r="I220" s="18">
        <v>5471.17</v>
      </c>
      <c r="J220" s="18">
        <v>893.89</v>
      </c>
      <c r="K220" s="18">
        <v>145</v>
      </c>
      <c r="L220" s="19">
        <f t="shared" ref="L220:L226" si="2">SUM(F220:K220)</f>
        <v>376215.08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>
        <v>82808.460000000006</v>
      </c>
      <c r="G221" s="18">
        <v>63330.04</v>
      </c>
      <c r="H221" s="18">
        <v>15212.75</v>
      </c>
      <c r="I221" s="18">
        <v>19023.830000000002</v>
      </c>
      <c r="J221" s="18"/>
      <c r="K221" s="18">
        <v>302.47000000000003</v>
      </c>
      <c r="L221" s="19">
        <f t="shared" si="2"/>
        <v>180677.55000000002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>
        <v>176058.73</v>
      </c>
      <c r="G222" s="18">
        <v>68932.820000000007</v>
      </c>
      <c r="H222" s="18">
        <v>93961.04</v>
      </c>
      <c r="I222" s="18">
        <v>8986.7900000000009</v>
      </c>
      <c r="J222" s="18">
        <v>43745.87</v>
      </c>
      <c r="K222" s="18">
        <v>2377.48</v>
      </c>
      <c r="L222" s="19">
        <f t="shared" si="2"/>
        <v>394062.73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>
        <v>241121.45</v>
      </c>
      <c r="G223" s="18">
        <v>122422.08</v>
      </c>
      <c r="H223" s="18">
        <v>9789.0400000000009</v>
      </c>
      <c r="I223" s="18">
        <v>5441.8</v>
      </c>
      <c r="J223" s="18"/>
      <c r="K223" s="18">
        <v>1979</v>
      </c>
      <c r="L223" s="19">
        <f t="shared" si="2"/>
        <v>380753.37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>
        <v>56615.63</v>
      </c>
      <c r="G224" s="18">
        <v>26053.3</v>
      </c>
      <c r="H224" s="18"/>
      <c r="I224" s="18"/>
      <c r="J224" s="18"/>
      <c r="K224" s="18"/>
      <c r="L224" s="19">
        <f t="shared" si="2"/>
        <v>82668.929999999993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>
        <v>153518.9</v>
      </c>
      <c r="G225" s="18">
        <v>90479.56</v>
      </c>
      <c r="H225" s="18">
        <v>214084.35</v>
      </c>
      <c r="I225" s="18">
        <v>71909.53</v>
      </c>
      <c r="J225" s="18">
        <v>18133.43</v>
      </c>
      <c r="K225" s="18">
        <v>299.37</v>
      </c>
      <c r="L225" s="19">
        <f t="shared" si="2"/>
        <v>548425.14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219437.53</v>
      </c>
      <c r="I226" s="18">
        <v>69322.7</v>
      </c>
      <c r="J226" s="18"/>
      <c r="K226" s="18"/>
      <c r="L226" s="19">
        <f t="shared" si="2"/>
        <v>288760.23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2630117.5799999996</v>
      </c>
      <c r="G229" s="41">
        <f>SUM(G215:G228)</f>
        <v>1159115.25</v>
      </c>
      <c r="H229" s="41">
        <f>SUM(H215:H228)</f>
        <v>875266.73</v>
      </c>
      <c r="I229" s="41">
        <f>SUM(I215:I228)</f>
        <v>241441.69</v>
      </c>
      <c r="J229" s="41">
        <f>SUM(J215:J228)</f>
        <v>102330.76000000001</v>
      </c>
      <c r="K229" s="41">
        <f t="shared" si="3"/>
        <v>9223.86</v>
      </c>
      <c r="L229" s="41">
        <f t="shared" si="3"/>
        <v>5017495.8699999992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>
        <v>1427404.64</v>
      </c>
      <c r="G233" s="18">
        <v>595809.85</v>
      </c>
      <c r="H233" s="18">
        <v>98546.21</v>
      </c>
      <c r="I233" s="18">
        <v>66185.47</v>
      </c>
      <c r="J233" s="18">
        <v>38329.879999999997</v>
      </c>
      <c r="K233" s="18">
        <v>1867.99</v>
      </c>
      <c r="L233" s="19">
        <f>SUM(F233:K233)</f>
        <v>2228144.04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>
        <v>492139.77</v>
      </c>
      <c r="G234" s="18">
        <v>172786.39</v>
      </c>
      <c r="H234" s="18">
        <v>480904.9</v>
      </c>
      <c r="I234" s="18">
        <v>8376.0300000000007</v>
      </c>
      <c r="J234" s="18">
        <v>15242.27</v>
      </c>
      <c r="K234" s="18">
        <v>166.19</v>
      </c>
      <c r="L234" s="19">
        <f>SUM(F234:K234)</f>
        <v>1169615.55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>
        <v>196160.7</v>
      </c>
      <c r="G235" s="18">
        <v>87785.04</v>
      </c>
      <c r="H235" s="18">
        <v>189934.85</v>
      </c>
      <c r="I235" s="18">
        <v>13021.39</v>
      </c>
      <c r="J235" s="18"/>
      <c r="K235" s="18">
        <v>333</v>
      </c>
      <c r="L235" s="19">
        <f>SUM(F235:K235)</f>
        <v>487234.98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>
        <v>198069.96</v>
      </c>
      <c r="G236" s="18">
        <v>41869.03</v>
      </c>
      <c r="H236" s="18">
        <v>54343.5</v>
      </c>
      <c r="I236" s="18">
        <v>10945.3</v>
      </c>
      <c r="J236" s="18">
        <v>18883.34</v>
      </c>
      <c r="K236" s="18">
        <v>14475.6</v>
      </c>
      <c r="L236" s="19">
        <f>SUM(F236:K236)</f>
        <v>338586.73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>
        <v>261123.9</v>
      </c>
      <c r="G238" s="18">
        <v>138762.03</v>
      </c>
      <c r="H238" s="18">
        <v>64616.67</v>
      </c>
      <c r="I238" s="18">
        <v>4978.05</v>
      </c>
      <c r="J238" s="18">
        <v>2218.96</v>
      </c>
      <c r="K238" s="18">
        <v>0</v>
      </c>
      <c r="L238" s="19">
        <f t="shared" ref="L238:L244" si="4">SUM(F238:K238)</f>
        <v>471699.61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>
        <v>115051.66</v>
      </c>
      <c r="G239" s="18">
        <v>75698.48</v>
      </c>
      <c r="H239" s="18">
        <v>16274.97</v>
      </c>
      <c r="I239" s="18">
        <v>19109.86</v>
      </c>
      <c r="J239" s="18"/>
      <c r="K239" s="18">
        <v>170.68</v>
      </c>
      <c r="L239" s="19">
        <f t="shared" si="4"/>
        <v>226305.65000000002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>
        <v>226837.23</v>
      </c>
      <c r="G240" s="18">
        <v>88814.28</v>
      </c>
      <c r="H240" s="18">
        <v>121061.09</v>
      </c>
      <c r="I240" s="18">
        <v>10791.78</v>
      </c>
      <c r="J240" s="18">
        <v>52692.77</v>
      </c>
      <c r="K240" s="18">
        <v>3063.19</v>
      </c>
      <c r="L240" s="19">
        <f t="shared" si="4"/>
        <v>503260.34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>
        <v>258083.58</v>
      </c>
      <c r="G241" s="18">
        <v>110715.88</v>
      </c>
      <c r="H241" s="18">
        <v>22127.11</v>
      </c>
      <c r="I241" s="18">
        <v>6716.31</v>
      </c>
      <c r="J241" s="18">
        <v>0</v>
      </c>
      <c r="K241" s="18">
        <v>5834.37</v>
      </c>
      <c r="L241" s="19">
        <f t="shared" si="4"/>
        <v>403477.24999999994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>
        <v>72944.59</v>
      </c>
      <c r="G242" s="18">
        <v>33567.54</v>
      </c>
      <c r="H242" s="18"/>
      <c r="I242" s="18"/>
      <c r="J242" s="18"/>
      <c r="K242" s="18"/>
      <c r="L242" s="19">
        <f t="shared" si="4"/>
        <v>106512.13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>
        <v>212157.44</v>
      </c>
      <c r="G243" s="18">
        <v>106589.38</v>
      </c>
      <c r="H243" s="18">
        <v>277617.40999999997</v>
      </c>
      <c r="I243" s="18">
        <v>219705.84</v>
      </c>
      <c r="J243" s="18">
        <v>23917.49</v>
      </c>
      <c r="K243" s="18">
        <v>385.72</v>
      </c>
      <c r="L243" s="19">
        <f t="shared" si="4"/>
        <v>840373.27999999991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v>323862.88</v>
      </c>
      <c r="I244" s="18">
        <v>89316.61</v>
      </c>
      <c r="J244" s="18"/>
      <c r="K244" s="18"/>
      <c r="L244" s="19">
        <f t="shared" si="4"/>
        <v>413179.49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3459973.4699999997</v>
      </c>
      <c r="G247" s="41">
        <f t="shared" si="5"/>
        <v>1452397.9</v>
      </c>
      <c r="H247" s="41">
        <f t="shared" si="5"/>
        <v>1649289.5899999999</v>
      </c>
      <c r="I247" s="41">
        <f t="shared" si="5"/>
        <v>449146.64</v>
      </c>
      <c r="J247" s="41">
        <f t="shared" si="5"/>
        <v>151284.71</v>
      </c>
      <c r="K247" s="41">
        <f t="shared" si="5"/>
        <v>26296.739999999998</v>
      </c>
      <c r="L247" s="41">
        <f t="shared" si="5"/>
        <v>7188389.0500000007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>
        <v>19935</v>
      </c>
      <c r="I255" s="18"/>
      <c r="J255" s="18"/>
      <c r="K255" s="18"/>
      <c r="L255" s="19">
        <f t="shared" si="6"/>
        <v>19935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19935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19935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10934304.300000001</v>
      </c>
      <c r="G257" s="41">
        <f t="shared" si="8"/>
        <v>4761289</v>
      </c>
      <c r="H257" s="41">
        <f t="shared" si="8"/>
        <v>3896154.86</v>
      </c>
      <c r="I257" s="41">
        <f t="shared" si="8"/>
        <v>1163201.76</v>
      </c>
      <c r="J257" s="41">
        <f t="shared" si="8"/>
        <v>465534.64</v>
      </c>
      <c r="K257" s="41">
        <f t="shared" si="8"/>
        <v>43389.97</v>
      </c>
      <c r="L257" s="41">
        <f t="shared" si="8"/>
        <v>21263874.530000001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1547685</v>
      </c>
      <c r="L260" s="19">
        <f>SUM(F260:K260)</f>
        <v>1547685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246760.99</v>
      </c>
      <c r="L261" s="19">
        <f>SUM(F261:K261)</f>
        <v>246760.99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5967.97</v>
      </c>
      <c r="L263" s="19">
        <f>SUM(F263:K263)</f>
        <v>5967.97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v>450000</v>
      </c>
      <c r="L266" s="19">
        <f t="shared" si="9"/>
        <v>450000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2250413.96</v>
      </c>
      <c r="L270" s="41">
        <f t="shared" si="9"/>
        <v>2250413.96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10934304.300000001</v>
      </c>
      <c r="G271" s="42">
        <f t="shared" si="11"/>
        <v>4761289</v>
      </c>
      <c r="H271" s="42">
        <f t="shared" si="11"/>
        <v>3896154.86</v>
      </c>
      <c r="I271" s="42">
        <f t="shared" si="11"/>
        <v>1163201.76</v>
      </c>
      <c r="J271" s="42">
        <f t="shared" si="11"/>
        <v>465534.64</v>
      </c>
      <c r="K271" s="42">
        <f t="shared" si="11"/>
        <v>2293803.9300000002</v>
      </c>
      <c r="L271" s="42">
        <f t="shared" si="11"/>
        <v>23514288.490000002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>
        <v>207309.62</v>
      </c>
      <c r="G276" s="18">
        <v>93882.82</v>
      </c>
      <c r="H276" s="18">
        <v>27015.85</v>
      </c>
      <c r="I276" s="18">
        <v>14176.7</v>
      </c>
      <c r="J276" s="18">
        <v>39348.370000000003</v>
      </c>
      <c r="K276" s="18"/>
      <c r="L276" s="19">
        <f>SUM(F276:K276)</f>
        <v>381733.36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73500.960000000006</v>
      </c>
      <c r="G277" s="18"/>
      <c r="H277" s="18">
        <v>36863.85</v>
      </c>
      <c r="I277" s="18">
        <v>18860.28</v>
      </c>
      <c r="J277" s="18">
        <v>5268.91</v>
      </c>
      <c r="K277" s="18"/>
      <c r="L277" s="19">
        <f>SUM(F277:K277)</f>
        <v>134494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>
        <v>148.1</v>
      </c>
      <c r="H279" s="18">
        <v>18.14</v>
      </c>
      <c r="I279" s="18"/>
      <c r="J279" s="18"/>
      <c r="K279" s="18"/>
      <c r="L279" s="19">
        <f>SUM(F279:K279)</f>
        <v>166.24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>
        <v>43083.24</v>
      </c>
      <c r="G281" s="18"/>
      <c r="H281" s="18"/>
      <c r="I281" s="18"/>
      <c r="J281" s="18"/>
      <c r="K281" s="18"/>
      <c r="L281" s="19">
        <f t="shared" ref="L281:L287" si="12">SUM(F281:K281)</f>
        <v>43083.24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>
        <v>36125.269999999997</v>
      </c>
      <c r="G282" s="18">
        <v>7405.4</v>
      </c>
      <c r="H282" s="18">
        <v>41905.31</v>
      </c>
      <c r="I282" s="18">
        <v>4823.37</v>
      </c>
      <c r="J282" s="18"/>
      <c r="K282" s="18"/>
      <c r="L282" s="19">
        <f t="shared" si="12"/>
        <v>90259.349999999991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>
        <v>16472</v>
      </c>
      <c r="G283" s="18">
        <v>2883.44</v>
      </c>
      <c r="H283" s="18">
        <v>40.92</v>
      </c>
      <c r="I283" s="18">
        <v>8245.85</v>
      </c>
      <c r="J283" s="18"/>
      <c r="K283" s="18"/>
      <c r="L283" s="19">
        <f t="shared" si="12"/>
        <v>27642.21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>
        <v>1533.09</v>
      </c>
      <c r="L284" s="19">
        <f t="shared" si="12"/>
        <v>1533.09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>
        <v>923.03</v>
      </c>
      <c r="I286" s="18">
        <v>41.588999999999999</v>
      </c>
      <c r="J286" s="18">
        <v>30755.54</v>
      </c>
      <c r="K286" s="18"/>
      <c r="L286" s="19">
        <f t="shared" si="12"/>
        <v>31720.159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>
        <v>4302</v>
      </c>
      <c r="I287" s="18"/>
      <c r="J287" s="18"/>
      <c r="K287" s="18"/>
      <c r="L287" s="19">
        <f t="shared" si="12"/>
        <v>4302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376491.09</v>
      </c>
      <c r="G290" s="42">
        <f t="shared" si="13"/>
        <v>104319.76000000001</v>
      </c>
      <c r="H290" s="42">
        <f t="shared" si="13"/>
        <v>111069.09999999999</v>
      </c>
      <c r="I290" s="42">
        <f t="shared" si="13"/>
        <v>46147.788999999997</v>
      </c>
      <c r="J290" s="42">
        <f t="shared" si="13"/>
        <v>75372.820000000007</v>
      </c>
      <c r="K290" s="42">
        <f t="shared" si="13"/>
        <v>1533.09</v>
      </c>
      <c r="L290" s="41">
        <f t="shared" si="13"/>
        <v>714933.64899999986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>
        <v>47735.26</v>
      </c>
      <c r="G295" s="18">
        <v>20399.57</v>
      </c>
      <c r="H295" s="18">
        <v>4834.2299999999996</v>
      </c>
      <c r="I295" s="18">
        <v>7328.99</v>
      </c>
      <c r="J295" s="18">
        <v>25467.98</v>
      </c>
      <c r="K295" s="18"/>
      <c r="L295" s="19">
        <f>SUM(F295:K295)</f>
        <v>105766.03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>
        <v>42542.400000000001</v>
      </c>
      <c r="G296" s="18"/>
      <c r="H296" s="18">
        <v>21336.81</v>
      </c>
      <c r="I296" s="18">
        <v>89.2</v>
      </c>
      <c r="J296" s="18">
        <v>3049.65</v>
      </c>
      <c r="K296" s="18"/>
      <c r="L296" s="19">
        <f>SUM(F296:K296)</f>
        <v>67018.06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>
        <v>1038.32</v>
      </c>
      <c r="H298" s="18">
        <v>226.46</v>
      </c>
      <c r="I298" s="18"/>
      <c r="J298" s="18"/>
      <c r="K298" s="18"/>
      <c r="L298" s="19">
        <f>SUM(F298:K298)</f>
        <v>1264.78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>
        <v>24936.6</v>
      </c>
      <c r="G300" s="18"/>
      <c r="H300" s="18"/>
      <c r="I300" s="18"/>
      <c r="J300" s="18"/>
      <c r="K300" s="18"/>
      <c r="L300" s="19">
        <f t="shared" ref="L300:L306" si="14">SUM(F300:K300)</f>
        <v>24936.6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>
        <v>17869.509999999998</v>
      </c>
      <c r="G301" s="18">
        <v>4053.7</v>
      </c>
      <c r="H301" s="18">
        <v>24515.18</v>
      </c>
      <c r="I301" s="18">
        <v>3061.79</v>
      </c>
      <c r="J301" s="18"/>
      <c r="K301" s="18"/>
      <c r="L301" s="19">
        <f t="shared" si="14"/>
        <v>49500.18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>
        <v>9728</v>
      </c>
      <c r="G302" s="18">
        <v>1860.64</v>
      </c>
      <c r="H302" s="18">
        <v>15.13</v>
      </c>
      <c r="I302" s="18">
        <v>3049.84</v>
      </c>
      <c r="J302" s="18"/>
      <c r="K302" s="18"/>
      <c r="L302" s="19">
        <f t="shared" si="14"/>
        <v>14653.609999999999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>
        <v>1439.86</v>
      </c>
      <c r="L303" s="19">
        <f t="shared" si="14"/>
        <v>1439.86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>
        <v>534.25</v>
      </c>
      <c r="I305" s="18">
        <v>24.07</v>
      </c>
      <c r="J305" s="18">
        <v>10437.31</v>
      </c>
      <c r="K305" s="18"/>
      <c r="L305" s="19">
        <f t="shared" si="14"/>
        <v>10995.63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>
        <v>2490</v>
      </c>
      <c r="I306" s="18"/>
      <c r="J306" s="18"/>
      <c r="K306" s="18"/>
      <c r="L306" s="19">
        <f t="shared" si="14"/>
        <v>2490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142811.77000000002</v>
      </c>
      <c r="G309" s="42">
        <f t="shared" si="15"/>
        <v>27352.23</v>
      </c>
      <c r="H309" s="42">
        <f t="shared" si="15"/>
        <v>53952.06</v>
      </c>
      <c r="I309" s="42">
        <f t="shared" si="15"/>
        <v>13553.89</v>
      </c>
      <c r="J309" s="42">
        <f t="shared" si="15"/>
        <v>38954.94</v>
      </c>
      <c r="K309" s="42">
        <f t="shared" si="15"/>
        <v>1439.86</v>
      </c>
      <c r="L309" s="41">
        <f t="shared" si="15"/>
        <v>278064.75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>
        <v>168.42</v>
      </c>
      <c r="G314" s="18">
        <v>24.02</v>
      </c>
      <c r="H314" s="18">
        <v>312.77999999999997</v>
      </c>
      <c r="I314" s="18">
        <v>2555.3200000000002</v>
      </c>
      <c r="J314" s="18">
        <v>222.91</v>
      </c>
      <c r="K314" s="18"/>
      <c r="L314" s="19">
        <f>SUM(F314:K314)</f>
        <v>3283.45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>
        <v>54809.64</v>
      </c>
      <c r="G315" s="18"/>
      <c r="H315" s="18">
        <v>27489.360000000001</v>
      </c>
      <c r="I315" s="18"/>
      <c r="J315" s="18">
        <v>3929.02</v>
      </c>
      <c r="K315" s="18"/>
      <c r="L315" s="19">
        <f>SUM(F315:K315)</f>
        <v>86228.02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>
        <v>7410</v>
      </c>
      <c r="G316" s="18"/>
      <c r="H316" s="18">
        <v>11543.28</v>
      </c>
      <c r="I316" s="18">
        <v>1919.84</v>
      </c>
      <c r="J316" s="18">
        <v>2756.09</v>
      </c>
      <c r="K316" s="18">
        <v>1898</v>
      </c>
      <c r="L316" s="19">
        <f>SUM(F316:K316)</f>
        <v>25527.21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>
        <v>3099</v>
      </c>
      <c r="K317" s="18"/>
      <c r="L317" s="19">
        <f>SUM(F317:K317)</f>
        <v>3099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>
        <v>32127.16</v>
      </c>
      <c r="G319" s="18"/>
      <c r="H319" s="18"/>
      <c r="I319" s="18"/>
      <c r="J319" s="18"/>
      <c r="K319" s="18"/>
      <c r="L319" s="19">
        <f t="shared" ref="L319:L325" si="16">SUM(F319:K319)</f>
        <v>32127.16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>
        <v>16089.49</v>
      </c>
      <c r="G320" s="18">
        <v>4692.24</v>
      </c>
      <c r="H320" s="18">
        <v>23943.15</v>
      </c>
      <c r="I320" s="18">
        <v>3258.44</v>
      </c>
      <c r="J320" s="18"/>
      <c r="K320" s="18"/>
      <c r="L320" s="19">
        <f t="shared" si="16"/>
        <v>47983.320000000007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>
        <v>1562.01</v>
      </c>
      <c r="L322" s="19">
        <f t="shared" si="16"/>
        <v>1562.01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>
        <v>688.31</v>
      </c>
      <c r="I324" s="18">
        <v>31.01</v>
      </c>
      <c r="J324" s="18">
        <v>10563.41</v>
      </c>
      <c r="K324" s="18"/>
      <c r="L324" s="19">
        <f t="shared" si="16"/>
        <v>11282.73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>
        <v>3208</v>
      </c>
      <c r="I325" s="18"/>
      <c r="J325" s="18"/>
      <c r="K325" s="18"/>
      <c r="L325" s="19">
        <f t="shared" si="16"/>
        <v>3208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110604.71</v>
      </c>
      <c r="G328" s="42">
        <f t="shared" si="17"/>
        <v>4716.26</v>
      </c>
      <c r="H328" s="42">
        <f t="shared" si="17"/>
        <v>67184.88</v>
      </c>
      <c r="I328" s="42">
        <f t="shared" si="17"/>
        <v>7764.6100000000006</v>
      </c>
      <c r="J328" s="42">
        <f t="shared" si="17"/>
        <v>20570.43</v>
      </c>
      <c r="K328" s="42">
        <f t="shared" si="17"/>
        <v>3460.01</v>
      </c>
      <c r="L328" s="41">
        <f t="shared" si="17"/>
        <v>214300.90000000002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629907.57000000007</v>
      </c>
      <c r="G338" s="41">
        <f t="shared" si="20"/>
        <v>136388.25000000003</v>
      </c>
      <c r="H338" s="41">
        <f t="shared" si="20"/>
        <v>232206.03999999998</v>
      </c>
      <c r="I338" s="41">
        <f t="shared" si="20"/>
        <v>67466.28899999999</v>
      </c>
      <c r="J338" s="41">
        <f t="shared" si="20"/>
        <v>134898.19</v>
      </c>
      <c r="K338" s="41">
        <f t="shared" si="20"/>
        <v>6432.96</v>
      </c>
      <c r="L338" s="41">
        <f t="shared" si="20"/>
        <v>1207299.2989999999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>
        <v>1242.4000000000001</v>
      </c>
      <c r="L344" s="19">
        <f t="shared" ref="L344:L350" si="21">SUM(F344:K344)</f>
        <v>1242.4000000000001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1242.4000000000001</v>
      </c>
      <c r="L351" s="41">
        <f>SUM(L341:L350)</f>
        <v>1242.4000000000001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629907.57000000007</v>
      </c>
      <c r="G352" s="41">
        <f>G338</f>
        <v>136388.25000000003</v>
      </c>
      <c r="H352" s="41">
        <f>H338</f>
        <v>232206.03999999998</v>
      </c>
      <c r="I352" s="41">
        <f>I338</f>
        <v>67466.28899999999</v>
      </c>
      <c r="J352" s="41">
        <f>J338</f>
        <v>134898.19</v>
      </c>
      <c r="K352" s="47">
        <f>K338+K351</f>
        <v>7675.3600000000006</v>
      </c>
      <c r="L352" s="41">
        <f>L338+L351</f>
        <v>1208541.6989999998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101567.63</v>
      </c>
      <c r="G358" s="18">
        <v>25929.439999999999</v>
      </c>
      <c r="H358" s="18">
        <v>1257.95</v>
      </c>
      <c r="I358" s="18">
        <v>146300.96</v>
      </c>
      <c r="J358" s="18">
        <v>1895.21</v>
      </c>
      <c r="K358" s="18">
        <v>1731.01</v>
      </c>
      <c r="L358" s="13">
        <f>SUM(F358:K358)</f>
        <v>278682.2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>
        <v>51249.36</v>
      </c>
      <c r="G359" s="18">
        <v>7626.56</v>
      </c>
      <c r="H359" s="18">
        <v>728.2</v>
      </c>
      <c r="I359" s="18">
        <v>70235.88</v>
      </c>
      <c r="J359" s="18">
        <v>1097.0999999999999</v>
      </c>
      <c r="K359" s="18">
        <v>1002.04</v>
      </c>
      <c r="L359" s="19">
        <f>SUM(F359:K359)</f>
        <v>131939.14000000001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>
        <v>84169.58</v>
      </c>
      <c r="G360" s="18">
        <v>11263.28</v>
      </c>
      <c r="H360" s="18">
        <v>938.23</v>
      </c>
      <c r="I360" s="18">
        <v>90493.17</v>
      </c>
      <c r="J360" s="18">
        <v>1413.52</v>
      </c>
      <c r="K360" s="18">
        <v>1291.05</v>
      </c>
      <c r="L360" s="19">
        <f>SUM(F360:K360)</f>
        <v>189568.83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236986.57</v>
      </c>
      <c r="G362" s="47">
        <f t="shared" si="22"/>
        <v>44819.28</v>
      </c>
      <c r="H362" s="47">
        <f t="shared" si="22"/>
        <v>2924.38</v>
      </c>
      <c r="I362" s="47">
        <f t="shared" si="22"/>
        <v>307030.01</v>
      </c>
      <c r="J362" s="47">
        <f t="shared" si="22"/>
        <v>4405.83</v>
      </c>
      <c r="K362" s="47">
        <f t="shared" si="22"/>
        <v>4024.1000000000004</v>
      </c>
      <c r="L362" s="47">
        <f t="shared" si="22"/>
        <v>600190.17000000004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139762.10999999999</v>
      </c>
      <c r="G367" s="18">
        <v>66450.679999999993</v>
      </c>
      <c r="H367" s="18">
        <v>85616.25</v>
      </c>
      <c r="I367" s="56">
        <f>SUM(F367:H367)</f>
        <v>291829.03999999998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6538.85</v>
      </c>
      <c r="G368" s="63">
        <v>3785.2</v>
      </c>
      <c r="H368" s="63">
        <v>4876.92</v>
      </c>
      <c r="I368" s="56">
        <f>SUM(F368:H368)</f>
        <v>15200.97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146300.96</v>
      </c>
      <c r="G369" s="47">
        <f>SUM(G367:G368)</f>
        <v>70235.87999999999</v>
      </c>
      <c r="H369" s="47">
        <f>SUM(H367:H368)</f>
        <v>90493.17</v>
      </c>
      <c r="I369" s="47">
        <f>SUM(I367:I368)</f>
        <v>307030.00999999995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>
        <v>450000</v>
      </c>
      <c r="H389" s="18">
        <v>1879.03</v>
      </c>
      <c r="I389" s="18"/>
      <c r="J389" s="24" t="s">
        <v>289</v>
      </c>
      <c r="K389" s="24" t="s">
        <v>289</v>
      </c>
      <c r="L389" s="56">
        <f t="shared" si="25"/>
        <v>451879.03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>
        <v>1.98</v>
      </c>
      <c r="I392" s="18"/>
      <c r="J392" s="24" t="s">
        <v>289</v>
      </c>
      <c r="K392" s="24" t="s">
        <v>289</v>
      </c>
      <c r="L392" s="56">
        <f t="shared" si="25"/>
        <v>1.98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450000</v>
      </c>
      <c r="H393" s="139">
        <f>SUM(H387:H392)</f>
        <v>1881.01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451881.01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>
        <v>119.38</v>
      </c>
      <c r="I396" s="18"/>
      <c r="J396" s="24" t="s">
        <v>289</v>
      </c>
      <c r="K396" s="24" t="s">
        <v>289</v>
      </c>
      <c r="L396" s="56">
        <f t="shared" si="26"/>
        <v>119.38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/>
      <c r="H397" s="18">
        <v>185.76</v>
      </c>
      <c r="I397" s="18"/>
      <c r="J397" s="24" t="s">
        <v>289</v>
      </c>
      <c r="K397" s="24" t="s">
        <v>289</v>
      </c>
      <c r="L397" s="56">
        <f t="shared" si="26"/>
        <v>185.76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/>
      <c r="H400" s="18"/>
      <c r="I400" s="18"/>
      <c r="J400" s="24" t="s">
        <v>289</v>
      </c>
      <c r="K400" s="24" t="s">
        <v>289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305.14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305.14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450000</v>
      </c>
      <c r="H408" s="47">
        <f>H393+H401+H407</f>
        <v>2186.15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452186.15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>
        <v>648306.88</v>
      </c>
      <c r="I415" s="18"/>
      <c r="J415" s="18"/>
      <c r="K415" s="18"/>
      <c r="L415" s="56">
        <f t="shared" si="27"/>
        <v>648306.88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648306.88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648306.88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>
        <v>15950.34</v>
      </c>
      <c r="I422" s="18"/>
      <c r="J422" s="18"/>
      <c r="K422" s="18"/>
      <c r="L422" s="56">
        <f t="shared" si="29"/>
        <v>15950.34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15950.34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15950.34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664257.22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664257.22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v>1594546.91</v>
      </c>
      <c r="H439" s="18"/>
      <c r="I439" s="56">
        <f t="shared" ref="I439:I445" si="33">SUM(F439:H439)</f>
        <v>1594546.91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>
        <v>5993</v>
      </c>
      <c r="H444" s="18"/>
      <c r="I444" s="56">
        <f t="shared" si="33"/>
        <v>5993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1600539.91</v>
      </c>
      <c r="H446" s="13">
        <f>SUM(H439:H445)</f>
        <v>0</v>
      </c>
      <c r="I446" s="13">
        <f>SUM(I439:I445)</f>
        <v>1600539.91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>
        <v>690185.22</v>
      </c>
      <c r="H448" s="18"/>
      <c r="I448" s="56">
        <f>SUM(F448:H448)</f>
        <v>690185.22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690185.22</v>
      </c>
      <c r="H452" s="72">
        <f>SUM(H448:H451)</f>
        <v>0</v>
      </c>
      <c r="I452" s="72">
        <f>SUM(I448:I451)</f>
        <v>690185.22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910354.69</v>
      </c>
      <c r="H459" s="18"/>
      <c r="I459" s="56">
        <f t="shared" si="34"/>
        <v>910354.69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910354.69</v>
      </c>
      <c r="H460" s="83">
        <f>SUM(H454:H459)</f>
        <v>0</v>
      </c>
      <c r="I460" s="83">
        <f>SUM(I454:I459)</f>
        <v>910354.69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1600539.91</v>
      </c>
      <c r="H461" s="42">
        <f>H452+H460</f>
        <v>0</v>
      </c>
      <c r="I461" s="42">
        <f>I452+I460</f>
        <v>1600539.91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815922.29</v>
      </c>
      <c r="G465" s="18">
        <v>161367.01999999999</v>
      </c>
      <c r="H465" s="18">
        <v>19293.66</v>
      </c>
      <c r="I465" s="18"/>
      <c r="J465" s="18">
        <v>1122425.76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v>24178011.27</v>
      </c>
      <c r="G468" s="18">
        <v>638043.06999999995</v>
      </c>
      <c r="H468" s="18">
        <v>1208944.69</v>
      </c>
      <c r="I468" s="18"/>
      <c r="J468" s="18">
        <v>452186.15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/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24178011.27</v>
      </c>
      <c r="G470" s="53">
        <f>SUM(G468:G469)</f>
        <v>638043.06999999995</v>
      </c>
      <c r="H470" s="53">
        <f>SUM(H468:H469)</f>
        <v>1208944.69</v>
      </c>
      <c r="I470" s="53">
        <f>SUM(I468:I469)</f>
        <v>0</v>
      </c>
      <c r="J470" s="53">
        <f>SUM(J468:J469)</f>
        <v>452186.15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v>23514288.489999998</v>
      </c>
      <c r="G472" s="18">
        <v>600190.17000000004</v>
      </c>
      <c r="H472" s="18">
        <v>1208541.7</v>
      </c>
      <c r="I472" s="18"/>
      <c r="J472" s="18">
        <v>664257.22</v>
      </c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/>
      <c r="H473" s="18"/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23514288.489999998</v>
      </c>
      <c r="G474" s="53">
        <f>SUM(G472:G473)</f>
        <v>600190.17000000004</v>
      </c>
      <c r="H474" s="53">
        <f>SUM(H472:H473)</f>
        <v>1208541.7</v>
      </c>
      <c r="I474" s="53">
        <f>SUM(I472:I473)</f>
        <v>0</v>
      </c>
      <c r="J474" s="53">
        <f>SUM(J472:J473)</f>
        <v>664257.22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1479645.0700000003</v>
      </c>
      <c r="G476" s="53">
        <f>(G465+G470)- G474</f>
        <v>199219.91999999993</v>
      </c>
      <c r="H476" s="53">
        <f>(H465+H470)- H474</f>
        <v>19696.649999999907</v>
      </c>
      <c r="I476" s="53">
        <f>(I465+I470)- I474</f>
        <v>0</v>
      </c>
      <c r="J476" s="53">
        <f>(J465+J470)- J474</f>
        <v>910354.69000000018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13</v>
      </c>
      <c r="G490" s="154">
        <v>10</v>
      </c>
      <c r="H490" s="154">
        <v>15</v>
      </c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911</v>
      </c>
      <c r="G491" s="155" t="s">
        <v>915</v>
      </c>
      <c r="H491" s="155" t="s">
        <v>916</v>
      </c>
      <c r="I491" s="155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912</v>
      </c>
      <c r="G492" s="155" t="s">
        <v>913</v>
      </c>
      <c r="H492" s="155" t="s">
        <v>914</v>
      </c>
      <c r="I492" s="155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7005000</v>
      </c>
      <c r="G493" s="18">
        <v>8625000</v>
      </c>
      <c r="H493" s="18">
        <v>3396240</v>
      </c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3.2</v>
      </c>
      <c r="G494" s="18">
        <v>3.19</v>
      </c>
      <c r="H494" s="18">
        <v>1.4</v>
      </c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435000</v>
      </c>
      <c r="G495" s="18">
        <v>6695000</v>
      </c>
      <c r="H495" s="18">
        <v>2506143</v>
      </c>
      <c r="I495" s="18"/>
      <c r="J495" s="18"/>
      <c r="K495" s="53">
        <f>SUM(F495:J495)</f>
        <v>9636143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>
        <v>0</v>
      </c>
      <c r="H496" s="18">
        <v>0</v>
      </c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435000</v>
      </c>
      <c r="G497" s="18">
        <v>890000</v>
      </c>
      <c r="H497" s="18">
        <v>222685</v>
      </c>
      <c r="I497" s="18"/>
      <c r="J497" s="18"/>
      <c r="K497" s="53">
        <f t="shared" si="35"/>
        <v>1547685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v>0</v>
      </c>
      <c r="G498" s="204">
        <v>5805000</v>
      </c>
      <c r="H498" s="204">
        <v>2283458</v>
      </c>
      <c r="I498" s="204"/>
      <c r="J498" s="204"/>
      <c r="K498" s="205">
        <f t="shared" si="35"/>
        <v>8088458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0</v>
      </c>
      <c r="G499" s="18">
        <v>715587.58</v>
      </c>
      <c r="H499" s="18">
        <v>177042</v>
      </c>
      <c r="I499" s="18"/>
      <c r="J499" s="18"/>
      <c r="K499" s="53">
        <f t="shared" si="35"/>
        <v>892629.58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0</v>
      </c>
      <c r="G500" s="42">
        <f>SUM(G498:G499)</f>
        <v>6520587.5800000001</v>
      </c>
      <c r="H500" s="42">
        <f>SUM(H498:H499)</f>
        <v>2460500</v>
      </c>
      <c r="I500" s="42">
        <f>SUM(I498:I499)</f>
        <v>0</v>
      </c>
      <c r="J500" s="42">
        <f>SUM(J498:J499)</f>
        <v>0</v>
      </c>
      <c r="K500" s="42">
        <f t="shared" si="35"/>
        <v>8981087.5800000001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/>
      <c r="G501" s="204">
        <v>870000</v>
      </c>
      <c r="H501" s="204">
        <v>223703</v>
      </c>
      <c r="I501" s="204"/>
      <c r="J501" s="204"/>
      <c r="K501" s="205">
        <f t="shared" si="35"/>
        <v>1093703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/>
      <c r="G502" s="18">
        <v>176675</v>
      </c>
      <c r="H502" s="18">
        <v>31968</v>
      </c>
      <c r="I502" s="18"/>
      <c r="J502" s="18"/>
      <c r="K502" s="53">
        <f t="shared" si="35"/>
        <v>208643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0</v>
      </c>
      <c r="G503" s="42">
        <f>SUM(G501:G502)</f>
        <v>1046675</v>
      </c>
      <c r="H503" s="42">
        <f>SUM(H501:H502)</f>
        <v>255671</v>
      </c>
      <c r="I503" s="42">
        <f>SUM(I501:I502)</f>
        <v>0</v>
      </c>
      <c r="J503" s="42">
        <f>SUM(J501:J502)</f>
        <v>0</v>
      </c>
      <c r="K503" s="42">
        <f t="shared" si="35"/>
        <v>1302346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v>905575.24</v>
      </c>
      <c r="G521" s="18">
        <v>317159.8</v>
      </c>
      <c r="H521" s="18">
        <v>405179.1</v>
      </c>
      <c r="I521" s="18">
        <v>23461.62</v>
      </c>
      <c r="J521" s="18">
        <v>20855.560000000001</v>
      </c>
      <c r="K521" s="18">
        <v>222.82</v>
      </c>
      <c r="L521" s="88">
        <f>SUM(F521:K521)</f>
        <v>1672454.1400000004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>
        <v>348428.02</v>
      </c>
      <c r="G522" s="18">
        <v>106755.15</v>
      </c>
      <c r="H522" s="18">
        <v>260616.71</v>
      </c>
      <c r="I522" s="18">
        <v>3022.78</v>
      </c>
      <c r="J522" s="18">
        <v>15235.9</v>
      </c>
      <c r="K522" s="18">
        <v>128.99</v>
      </c>
      <c r="L522" s="88">
        <f>SUM(F522:K522)</f>
        <v>734187.55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>
        <v>546949.41</v>
      </c>
      <c r="G523" s="18">
        <v>172786.39</v>
      </c>
      <c r="H523" s="18">
        <v>508394.25</v>
      </c>
      <c r="I523" s="18">
        <v>8376.0300000000007</v>
      </c>
      <c r="J523" s="18">
        <v>19171.29</v>
      </c>
      <c r="K523" s="18">
        <v>166.19</v>
      </c>
      <c r="L523" s="88">
        <f>SUM(F523:K523)</f>
        <v>1255843.56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1800952.67</v>
      </c>
      <c r="G524" s="108">
        <f t="shared" ref="G524:L524" si="36">SUM(G521:G523)</f>
        <v>596701.34</v>
      </c>
      <c r="H524" s="108">
        <f t="shared" si="36"/>
        <v>1174190.06</v>
      </c>
      <c r="I524" s="108">
        <f t="shared" si="36"/>
        <v>34860.43</v>
      </c>
      <c r="J524" s="108">
        <f t="shared" si="36"/>
        <v>55262.75</v>
      </c>
      <c r="K524" s="108">
        <f t="shared" si="36"/>
        <v>518</v>
      </c>
      <c r="L524" s="89">
        <f t="shared" si="36"/>
        <v>3662485.2500000005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v>138278.72</v>
      </c>
      <c r="G526" s="18">
        <v>43982.5</v>
      </c>
      <c r="H526" s="18">
        <v>22724.400000000001</v>
      </c>
      <c r="I526" s="18">
        <v>3263.91</v>
      </c>
      <c r="J526" s="18">
        <v>848</v>
      </c>
      <c r="K526" s="18"/>
      <c r="L526" s="88">
        <f>SUM(F526:K526)</f>
        <v>209097.53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>
        <v>80046.67</v>
      </c>
      <c r="G527" s="18">
        <v>25460.55</v>
      </c>
      <c r="H527" s="18">
        <v>13154.68</v>
      </c>
      <c r="I527" s="18">
        <v>1889.41</v>
      </c>
      <c r="J527" s="18">
        <v>490.89</v>
      </c>
      <c r="K527" s="18"/>
      <c r="L527" s="88">
        <f>SUM(F527:K527)</f>
        <v>121042.2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>
        <v>103133.57</v>
      </c>
      <c r="G528" s="18">
        <v>32803.83</v>
      </c>
      <c r="H528" s="18">
        <v>16948.73</v>
      </c>
      <c r="I528" s="18">
        <v>2434.35</v>
      </c>
      <c r="J528" s="18">
        <v>632.47</v>
      </c>
      <c r="K528" s="18"/>
      <c r="L528" s="88">
        <f>SUM(F528:K528)</f>
        <v>155952.95000000004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321458.96000000002</v>
      </c>
      <c r="G529" s="89">
        <f t="shared" ref="G529:L529" si="37">SUM(G526:G528)</f>
        <v>102246.88</v>
      </c>
      <c r="H529" s="89">
        <f t="shared" si="37"/>
        <v>52827.81</v>
      </c>
      <c r="I529" s="89">
        <f t="shared" si="37"/>
        <v>7587.67</v>
      </c>
      <c r="J529" s="89">
        <f t="shared" si="37"/>
        <v>1971.36</v>
      </c>
      <c r="K529" s="89">
        <f t="shared" si="37"/>
        <v>0</v>
      </c>
      <c r="L529" s="89">
        <f t="shared" si="37"/>
        <v>486092.68000000005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77179.039999999994</v>
      </c>
      <c r="G531" s="18">
        <v>25630.16</v>
      </c>
      <c r="H531" s="18"/>
      <c r="I531" s="18"/>
      <c r="J531" s="18"/>
      <c r="K531" s="18"/>
      <c r="L531" s="88">
        <f>SUM(F531:K531)</f>
        <v>102809.2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>
        <v>44677.34</v>
      </c>
      <c r="G532" s="18">
        <v>14836.77</v>
      </c>
      <c r="H532" s="18"/>
      <c r="I532" s="18"/>
      <c r="J532" s="18"/>
      <c r="K532" s="18"/>
      <c r="L532" s="88">
        <f>SUM(F532:K532)</f>
        <v>59514.11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>
        <v>57563.08</v>
      </c>
      <c r="G533" s="18">
        <v>19115.96</v>
      </c>
      <c r="H533" s="18"/>
      <c r="I533" s="18"/>
      <c r="J533" s="18"/>
      <c r="K533" s="18"/>
      <c r="L533" s="88">
        <f>SUM(F533:K533)</f>
        <v>76679.040000000008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179419.46</v>
      </c>
      <c r="G534" s="89">
        <f t="shared" ref="G534:L534" si="38">SUM(G531:G533)</f>
        <v>59582.89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239002.35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>
        <v>1603.85</v>
      </c>
      <c r="I536" s="18"/>
      <c r="J536" s="18"/>
      <c r="K536" s="18"/>
      <c r="L536" s="88">
        <f>SUM(F536:K536)</f>
        <v>1603.85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>
        <v>928.44</v>
      </c>
      <c r="I537" s="18"/>
      <c r="J537" s="18"/>
      <c r="K537" s="18"/>
      <c r="L537" s="88">
        <f>SUM(F537:K537)</f>
        <v>928.44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>
        <v>1196.21</v>
      </c>
      <c r="I538" s="18"/>
      <c r="J538" s="18"/>
      <c r="K538" s="18"/>
      <c r="L538" s="88">
        <f>SUM(F538:K538)</f>
        <v>1196.21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3728.5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3728.5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>
        <v>105665.35</v>
      </c>
      <c r="I541" s="18"/>
      <c r="J541" s="18"/>
      <c r="K541" s="18"/>
      <c r="L541" s="88">
        <f>SUM(F541:K541)</f>
        <v>105665.35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>
        <v>61167.47</v>
      </c>
      <c r="I542" s="18"/>
      <c r="J542" s="18"/>
      <c r="K542" s="18"/>
      <c r="L542" s="88">
        <f>SUM(F542:K542)</f>
        <v>61167.47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78809.27</v>
      </c>
      <c r="I543" s="18"/>
      <c r="J543" s="18"/>
      <c r="K543" s="18"/>
      <c r="L543" s="88">
        <f>SUM(F543:K543)</f>
        <v>78809.27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245642.09000000003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245642.09000000003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2301831.09</v>
      </c>
      <c r="G545" s="89">
        <f t="shared" ref="G545:L545" si="41">G524+G529+G534+G539+G544</f>
        <v>758531.11</v>
      </c>
      <c r="H545" s="89">
        <f t="shared" si="41"/>
        <v>1476388.4600000002</v>
      </c>
      <c r="I545" s="89">
        <f t="shared" si="41"/>
        <v>42448.1</v>
      </c>
      <c r="J545" s="89">
        <f t="shared" si="41"/>
        <v>57234.11</v>
      </c>
      <c r="K545" s="89">
        <f t="shared" si="41"/>
        <v>518</v>
      </c>
      <c r="L545" s="89">
        <f t="shared" si="41"/>
        <v>4636950.87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1672454.1400000004</v>
      </c>
      <c r="G549" s="87">
        <f>L526</f>
        <v>209097.53</v>
      </c>
      <c r="H549" s="87">
        <f>L531</f>
        <v>102809.2</v>
      </c>
      <c r="I549" s="87">
        <f>L536</f>
        <v>1603.85</v>
      </c>
      <c r="J549" s="87">
        <f>L541</f>
        <v>105665.35</v>
      </c>
      <c r="K549" s="87">
        <f>SUM(F549:J549)</f>
        <v>2091630.0700000005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734187.55</v>
      </c>
      <c r="G550" s="87">
        <f>L527</f>
        <v>121042.2</v>
      </c>
      <c r="H550" s="87">
        <f>L532</f>
        <v>59514.11</v>
      </c>
      <c r="I550" s="87">
        <f>L537</f>
        <v>928.44</v>
      </c>
      <c r="J550" s="87">
        <f>L542</f>
        <v>61167.47</v>
      </c>
      <c r="K550" s="87">
        <f>SUM(F550:J550)</f>
        <v>976839.7699999999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1255843.56</v>
      </c>
      <c r="G551" s="87">
        <f>L528</f>
        <v>155952.95000000004</v>
      </c>
      <c r="H551" s="87">
        <f>L533</f>
        <v>76679.040000000008</v>
      </c>
      <c r="I551" s="87">
        <f>L538</f>
        <v>1196.21</v>
      </c>
      <c r="J551" s="87">
        <f>L543</f>
        <v>78809.27</v>
      </c>
      <c r="K551" s="87">
        <f>SUM(F551:J551)</f>
        <v>1568481.03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3662485.2500000005</v>
      </c>
      <c r="G552" s="89">
        <f t="shared" si="42"/>
        <v>486092.68000000005</v>
      </c>
      <c r="H552" s="89">
        <f t="shared" si="42"/>
        <v>239002.35</v>
      </c>
      <c r="I552" s="89">
        <f t="shared" si="42"/>
        <v>3728.5</v>
      </c>
      <c r="J552" s="89">
        <f t="shared" si="42"/>
        <v>245642.09000000003</v>
      </c>
      <c r="K552" s="89">
        <f t="shared" si="42"/>
        <v>4636950.87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>
        <v>207309.62</v>
      </c>
      <c r="G557" s="18">
        <v>93906.84</v>
      </c>
      <c r="H557" s="18">
        <v>27328.62</v>
      </c>
      <c r="I557" s="18">
        <v>18715.419999999998</v>
      </c>
      <c r="J557" s="18"/>
      <c r="K557" s="18"/>
      <c r="L557" s="88">
        <f>SUM(F557:K557)</f>
        <v>347260.49999999994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>
        <v>47735.26</v>
      </c>
      <c r="G558" s="18">
        <v>20399.57</v>
      </c>
      <c r="H558" s="18">
        <v>4834.2299999999996</v>
      </c>
      <c r="I558" s="18">
        <v>5345.59</v>
      </c>
      <c r="J558" s="18"/>
      <c r="K558" s="18"/>
      <c r="L558" s="88">
        <f>SUM(F558:K558)</f>
        <v>78314.649999999994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>
        <v>168.42</v>
      </c>
      <c r="G559" s="18"/>
      <c r="H559" s="18"/>
      <c r="I559" s="18"/>
      <c r="J559" s="18"/>
      <c r="K559" s="18"/>
      <c r="L559" s="88">
        <f>SUM(F559:K559)</f>
        <v>168.42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255213.30000000002</v>
      </c>
      <c r="G560" s="108">
        <f t="shared" si="43"/>
        <v>114306.41</v>
      </c>
      <c r="H560" s="108">
        <f t="shared" si="43"/>
        <v>32162.85</v>
      </c>
      <c r="I560" s="108">
        <f t="shared" si="43"/>
        <v>24061.01</v>
      </c>
      <c r="J560" s="108">
        <f t="shared" si="43"/>
        <v>0</v>
      </c>
      <c r="K560" s="108">
        <f t="shared" si="43"/>
        <v>0</v>
      </c>
      <c r="L560" s="89">
        <f t="shared" si="43"/>
        <v>425743.56999999989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>
        <v>24305.94</v>
      </c>
      <c r="G562" s="18">
        <v>8822.17</v>
      </c>
      <c r="H562" s="18"/>
      <c r="I562" s="18">
        <v>40.47</v>
      </c>
      <c r="J562" s="18"/>
      <c r="K562" s="18"/>
      <c r="L562" s="88">
        <f>SUM(F562:K562)</f>
        <v>33168.58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>
        <v>14070.2</v>
      </c>
      <c r="G563" s="18">
        <v>5106.97</v>
      </c>
      <c r="H563" s="18"/>
      <c r="I563" s="18">
        <v>23.43</v>
      </c>
      <c r="J563" s="18"/>
      <c r="K563" s="18"/>
      <c r="L563" s="88">
        <f>SUM(F563:K563)</f>
        <v>19200.600000000002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>
        <v>18128.3</v>
      </c>
      <c r="G564" s="18">
        <v>6579.91</v>
      </c>
      <c r="H564" s="18"/>
      <c r="I564" s="18">
        <v>30.18</v>
      </c>
      <c r="J564" s="18"/>
      <c r="K564" s="18"/>
      <c r="L564" s="88">
        <f>SUM(F564:K564)</f>
        <v>24738.39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56504.44</v>
      </c>
      <c r="G565" s="89">
        <f t="shared" si="44"/>
        <v>20509.05</v>
      </c>
      <c r="H565" s="89">
        <f t="shared" si="44"/>
        <v>0</v>
      </c>
      <c r="I565" s="89">
        <f t="shared" si="44"/>
        <v>94.08</v>
      </c>
      <c r="J565" s="89">
        <f t="shared" si="44"/>
        <v>0</v>
      </c>
      <c r="K565" s="89">
        <f t="shared" si="44"/>
        <v>0</v>
      </c>
      <c r="L565" s="89">
        <f t="shared" si="44"/>
        <v>77107.570000000007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311717.74</v>
      </c>
      <c r="G571" s="89">
        <f t="shared" ref="G571:L571" si="46">G560+G565+G570</f>
        <v>134815.46</v>
      </c>
      <c r="H571" s="89">
        <f t="shared" si="46"/>
        <v>32162.85</v>
      </c>
      <c r="I571" s="89">
        <f t="shared" si="46"/>
        <v>24155.09</v>
      </c>
      <c r="J571" s="89">
        <f t="shared" si="46"/>
        <v>0</v>
      </c>
      <c r="K571" s="89">
        <f t="shared" si="46"/>
        <v>0</v>
      </c>
      <c r="L571" s="89">
        <f t="shared" si="46"/>
        <v>502851.1399999999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v>26258</v>
      </c>
      <c r="H575" s="18">
        <v>41777.339999999997</v>
      </c>
      <c r="I575" s="87">
        <f>SUM(F575:H575)</f>
        <v>68035.34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>
        <v>154428.57</v>
      </c>
      <c r="I578" s="87">
        <f t="shared" si="47"/>
        <v>154428.57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>
        <v>10237.75</v>
      </c>
      <c r="I583" s="87">
        <f t="shared" si="47"/>
        <v>10237.75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>
        <v>189542.31</v>
      </c>
      <c r="I584" s="87">
        <f t="shared" si="47"/>
        <v>189542.31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v>359363.4</v>
      </c>
      <c r="I591" s="18">
        <v>208027.99</v>
      </c>
      <c r="J591" s="18">
        <v>268026.99</v>
      </c>
      <c r="K591" s="104">
        <f t="shared" ref="K591:K597" si="48">SUM(H591:J591)</f>
        <v>835418.38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>
        <v>105665.36</v>
      </c>
      <c r="I592" s="18">
        <v>61167.47</v>
      </c>
      <c r="J592" s="18">
        <v>78809.27</v>
      </c>
      <c r="K592" s="104">
        <f t="shared" si="48"/>
        <v>245642.10000000003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>
        <v>15948.9</v>
      </c>
      <c r="K593" s="104">
        <f t="shared" si="48"/>
        <v>15948.9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>
        <v>13215.05</v>
      </c>
      <c r="J594" s="18">
        <v>45225.94</v>
      </c>
      <c r="K594" s="104">
        <f t="shared" si="48"/>
        <v>58440.990000000005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>
        <v>8046.14</v>
      </c>
      <c r="I595" s="18">
        <v>6349.72</v>
      </c>
      <c r="J595" s="18">
        <v>5168.3900000000003</v>
      </c>
      <c r="K595" s="104">
        <f t="shared" si="48"/>
        <v>19564.25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473074.9</v>
      </c>
      <c r="I598" s="108">
        <f>SUM(I591:I597)</f>
        <v>288760.22999999992</v>
      </c>
      <c r="J598" s="108">
        <f>SUM(J591:J597)</f>
        <v>413179.49000000005</v>
      </c>
      <c r="K598" s="108">
        <f>SUM(K591:K597)</f>
        <v>1175014.6199999999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v>287291.99</v>
      </c>
      <c r="I604" s="18">
        <v>141285.70000000001</v>
      </c>
      <c r="J604" s="18">
        <v>171855.14</v>
      </c>
      <c r="K604" s="104">
        <f>SUM(H604:J604)</f>
        <v>600432.83000000007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287291.99</v>
      </c>
      <c r="I605" s="108">
        <f>SUM(I602:I604)</f>
        <v>141285.70000000001</v>
      </c>
      <c r="J605" s="108">
        <f>SUM(J602:J604)</f>
        <v>171855.14</v>
      </c>
      <c r="K605" s="108">
        <f>SUM(K602:K604)</f>
        <v>600432.83000000007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>
        <v>24474</v>
      </c>
      <c r="G611" s="18">
        <v>4287.59</v>
      </c>
      <c r="H611" s="18"/>
      <c r="I611" s="18"/>
      <c r="J611" s="18">
        <v>55.24</v>
      </c>
      <c r="K611" s="18"/>
      <c r="L611" s="88">
        <f>SUM(F611:K611)</f>
        <v>28816.83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>
        <v>21629.07</v>
      </c>
      <c r="G612" s="18">
        <v>3769.54</v>
      </c>
      <c r="H612" s="18"/>
      <c r="I612" s="18"/>
      <c r="J612" s="18">
        <v>101.21</v>
      </c>
      <c r="K612" s="18"/>
      <c r="L612" s="88">
        <f>SUM(F612:K612)</f>
        <v>25499.82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>
        <v>46250.25</v>
      </c>
      <c r="G613" s="18">
        <v>8710.42</v>
      </c>
      <c r="H613" s="18"/>
      <c r="I613" s="18"/>
      <c r="J613" s="18">
        <v>41.09</v>
      </c>
      <c r="K613" s="18"/>
      <c r="L613" s="88">
        <f>SUM(F613:K613)</f>
        <v>55001.759999999995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92353.32</v>
      </c>
      <c r="G614" s="108">
        <f t="shared" si="49"/>
        <v>16767.55</v>
      </c>
      <c r="H614" s="108">
        <f t="shared" si="49"/>
        <v>0</v>
      </c>
      <c r="I614" s="108">
        <f t="shared" si="49"/>
        <v>0</v>
      </c>
      <c r="J614" s="108">
        <f t="shared" si="49"/>
        <v>197.54</v>
      </c>
      <c r="K614" s="108">
        <f t="shared" si="49"/>
        <v>0</v>
      </c>
      <c r="L614" s="89">
        <f t="shared" si="49"/>
        <v>109318.41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2231918.5099999998</v>
      </c>
      <c r="H617" s="109">
        <f>SUM(F52)</f>
        <v>2231918.5099999998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212212.52000000002</v>
      </c>
      <c r="H618" s="109">
        <f>SUM(G52)</f>
        <v>212212.52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359116.5</v>
      </c>
      <c r="H619" s="109">
        <f>SUM(H52)</f>
        <v>359116.5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1600539.91</v>
      </c>
      <c r="H621" s="109">
        <f>SUM(J52)</f>
        <v>1600539.91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1479645.0699999998</v>
      </c>
      <c r="H622" s="109">
        <f>F476</f>
        <v>1479645.0700000003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199219.91999999998</v>
      </c>
      <c r="H623" s="109">
        <f>G476</f>
        <v>199219.91999999993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19696.650000000001</v>
      </c>
      <c r="H624" s="109">
        <f>H476</f>
        <v>19696.649999999907</v>
      </c>
      <c r="I624" s="121" t="s">
        <v>103</v>
      </c>
      <c r="J624" s="109">
        <f t="shared" si="50"/>
        <v>9.4587448984384537E-11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910354.69</v>
      </c>
      <c r="H626" s="109">
        <f>J476</f>
        <v>910354.69000000018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24178011.27</v>
      </c>
      <c r="H627" s="104">
        <f>SUM(F468)</f>
        <v>24178011.27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638043.06999999995</v>
      </c>
      <c r="H628" s="104">
        <f>SUM(G468)</f>
        <v>638043.06999999995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1208944.6900000002</v>
      </c>
      <c r="H629" s="104">
        <f>SUM(H468)</f>
        <v>1208944.69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452186.15</v>
      </c>
      <c r="H631" s="104">
        <f>SUM(J468)</f>
        <v>452186.15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23514288.490000002</v>
      </c>
      <c r="H632" s="104">
        <f>SUM(F472)</f>
        <v>23514288.489999998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1208541.6989999998</v>
      </c>
      <c r="H633" s="104">
        <f>SUM(H472)</f>
        <v>1208541.7</v>
      </c>
      <c r="I633" s="140" t="s">
        <v>112</v>
      </c>
      <c r="J633" s="109">
        <f>G633-H633</f>
        <v>-1.0000001639127731E-3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307030.01</v>
      </c>
      <c r="H634" s="104">
        <f>I369</f>
        <v>307030.00999999995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600190.17000000004</v>
      </c>
      <c r="H635" s="104">
        <f>SUM(G472)</f>
        <v>600190.17000000004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452186.15</v>
      </c>
      <c r="H637" s="164">
        <f>SUM(J468)</f>
        <v>452186.15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664257.22</v>
      </c>
      <c r="H638" s="164">
        <f>SUM(J472)</f>
        <v>664257.22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1600539.91</v>
      </c>
      <c r="H640" s="104">
        <f>SUM(G461)</f>
        <v>1600539.91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1600539.91</v>
      </c>
      <c r="H642" s="104">
        <f>SUM(I461)</f>
        <v>1600539.91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2186.15</v>
      </c>
      <c r="H644" s="104">
        <f>H408</f>
        <v>2186.15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450000</v>
      </c>
      <c r="H645" s="104">
        <f>G408</f>
        <v>450000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452186.15</v>
      </c>
      <c r="H646" s="104">
        <f>L408</f>
        <v>452186.15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1175014.6199999999</v>
      </c>
      <c r="H647" s="104">
        <f>L208+L226+L244</f>
        <v>1175014.6200000001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600432.83000000007</v>
      </c>
      <c r="H648" s="104">
        <f>(J257+J338)-(J255+J336)</f>
        <v>600432.83000000007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473074.9</v>
      </c>
      <c r="H649" s="104">
        <f>H598</f>
        <v>473074.9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288760.23</v>
      </c>
      <c r="H650" s="104">
        <f>I598</f>
        <v>288760.22999999992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413179.49</v>
      </c>
      <c r="H651" s="104">
        <f>J598</f>
        <v>413179.49000000005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5967.97</v>
      </c>
      <c r="H652" s="104">
        <f>K263+K345</f>
        <v>5967.97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450000</v>
      </c>
      <c r="H655" s="104">
        <f>K266+K347</f>
        <v>450000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-1.0000020265579224E-3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10031670.458999999</v>
      </c>
      <c r="G660" s="19">
        <f>(L229+L309+L359)</f>
        <v>5427499.7599999988</v>
      </c>
      <c r="H660" s="19">
        <f>(L247+L328+L360)</f>
        <v>7592258.7800000012</v>
      </c>
      <c r="I660" s="19">
        <f>SUM(F660:H660)</f>
        <v>23051428.998999998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144291.93879375598</v>
      </c>
      <c r="G661" s="19">
        <f>(L359/IF(SUM(L358:L360)=0,1,SUM(L358:L360))*(SUM(G97:G110)))</f>
        <v>68313.492262443746</v>
      </c>
      <c r="H661" s="19">
        <f>(L360/IF(SUM(L358:L360)=0,1,SUM(L358:L360))*(SUM(G97:G110)))</f>
        <v>98152.138943800252</v>
      </c>
      <c r="I661" s="19">
        <f>SUM(F661:H661)</f>
        <v>310757.56999999995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477376.9</v>
      </c>
      <c r="G662" s="19">
        <f>(L226+L306)-(J226+J306)</f>
        <v>291250.23</v>
      </c>
      <c r="H662" s="19">
        <f>(L244+L325)-(J244+J325)</f>
        <v>416387.49</v>
      </c>
      <c r="I662" s="19">
        <f>SUM(F662:H662)</f>
        <v>1185014.6200000001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316108.82</v>
      </c>
      <c r="G663" s="199">
        <f>SUM(G575:G587)+SUM(I602:I604)+L612</f>
        <v>193043.52000000002</v>
      </c>
      <c r="H663" s="199">
        <f>SUM(H575:H587)+SUM(J602:J604)+L613</f>
        <v>622842.87</v>
      </c>
      <c r="I663" s="19">
        <f>SUM(F663:H663)</f>
        <v>1131995.21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9093892.8002062421</v>
      </c>
      <c r="G664" s="19">
        <f>G660-SUM(G661:G663)</f>
        <v>4874892.5177375553</v>
      </c>
      <c r="H664" s="19">
        <f>H660-SUM(H661:H663)</f>
        <v>6454876.2810562011</v>
      </c>
      <c r="I664" s="19">
        <f>I660-SUM(I661:I663)</f>
        <v>20423661.598999999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609.73</v>
      </c>
      <c r="G665" s="248">
        <v>352.96</v>
      </c>
      <c r="H665" s="248">
        <v>454.76</v>
      </c>
      <c r="I665" s="19">
        <f>SUM(F665:H665)</f>
        <v>1417.45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14914.62</v>
      </c>
      <c r="G667" s="19">
        <f>ROUND(G664/G665,2)</f>
        <v>13811.46</v>
      </c>
      <c r="H667" s="19">
        <f>ROUND(H664/H665,2)</f>
        <v>14194.03</v>
      </c>
      <c r="I667" s="19">
        <f>ROUND(I664/I665,2)</f>
        <v>14408.74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>
        <v>-13.05</v>
      </c>
      <c r="I670" s="19">
        <f>SUM(F670:H670)</f>
        <v>-13.05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14914.62</v>
      </c>
      <c r="G672" s="19">
        <f>ROUND((G664+G669)/(G665+G670),2)</f>
        <v>13811.46</v>
      </c>
      <c r="H672" s="19">
        <f>ROUND((H664+H669)/(H665+H670),2)</f>
        <v>14613.38</v>
      </c>
      <c r="I672" s="19">
        <f>ROUND((I664+I669)/(I665+I670),2)</f>
        <v>14542.62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E7" sqref="E7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WINNISQUAM REGIONAL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5406940.2499999991</v>
      </c>
      <c r="C9" s="229">
        <f>'DOE25'!G197+'DOE25'!G215+'DOE25'!G233+'DOE25'!G276+'DOE25'!G295+'DOE25'!G314</f>
        <v>2336917.0999999996</v>
      </c>
    </row>
    <row r="10" spans="1:3" x14ac:dyDescent="0.2">
      <c r="A10" t="s">
        <v>779</v>
      </c>
      <c r="B10" s="240">
        <v>5153839.46</v>
      </c>
      <c r="C10" s="240">
        <v>2313930.56</v>
      </c>
    </row>
    <row r="11" spans="1:3" x14ac:dyDescent="0.2">
      <c r="A11" t="s">
        <v>780</v>
      </c>
      <c r="B11" s="240">
        <v>25107.32</v>
      </c>
      <c r="C11" s="240">
        <v>4661.0600000000004</v>
      </c>
    </row>
    <row r="12" spans="1:3" x14ac:dyDescent="0.2">
      <c r="A12" t="s">
        <v>781</v>
      </c>
      <c r="B12" s="240">
        <v>227993.47</v>
      </c>
      <c r="C12" s="240">
        <v>18325.48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5406940.25</v>
      </c>
      <c r="C13" s="231">
        <f>SUM(C10:C12)</f>
        <v>2336917.1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1800952.6699999997</v>
      </c>
      <c r="C18" s="229">
        <f>'DOE25'!G198+'DOE25'!G216+'DOE25'!G234+'DOE25'!G277+'DOE25'!G296+'DOE25'!G315</f>
        <v>596701.34</v>
      </c>
    </row>
    <row r="19" spans="1:3" x14ac:dyDescent="0.2">
      <c r="A19" t="s">
        <v>779</v>
      </c>
      <c r="B19" s="240">
        <v>993314.6</v>
      </c>
      <c r="C19" s="240">
        <v>468580.28</v>
      </c>
    </row>
    <row r="20" spans="1:3" x14ac:dyDescent="0.2">
      <c r="A20" t="s">
        <v>780</v>
      </c>
      <c r="B20" s="240">
        <v>689472.69</v>
      </c>
      <c r="C20" s="240">
        <v>118039.55</v>
      </c>
    </row>
    <row r="21" spans="1:3" x14ac:dyDescent="0.2">
      <c r="A21" t="s">
        <v>781</v>
      </c>
      <c r="B21" s="240">
        <v>118165.38</v>
      </c>
      <c r="C21" s="240">
        <v>10081.51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1800952.67</v>
      </c>
      <c r="C22" s="231">
        <f>SUM(C19:C21)</f>
        <v>596701.34000000008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203570.7</v>
      </c>
      <c r="C27" s="234">
        <f>'DOE25'!G199+'DOE25'!G217+'DOE25'!G235+'DOE25'!G278+'DOE25'!G297+'DOE25'!G316</f>
        <v>87785.04</v>
      </c>
    </row>
    <row r="28" spans="1:3" x14ac:dyDescent="0.2">
      <c r="A28" t="s">
        <v>779</v>
      </c>
      <c r="B28" s="240">
        <v>181714.3</v>
      </c>
      <c r="C28" s="240">
        <v>71024.66</v>
      </c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>
        <v>21856.400000000001</v>
      </c>
      <c r="C30" s="240">
        <v>16760.38</v>
      </c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203570.69999999998</v>
      </c>
      <c r="C31" s="231">
        <f>SUM(C28:C30)</f>
        <v>87785.040000000008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295961.46999999997</v>
      </c>
      <c r="C36" s="235">
        <f>'DOE25'!G200+'DOE25'!G218+'DOE25'!G236+'DOE25'!G279+'DOE25'!G298+'DOE25'!G317</f>
        <v>70832.62000000001</v>
      </c>
    </row>
    <row r="37" spans="1:3" x14ac:dyDescent="0.2">
      <c r="A37" t="s">
        <v>779</v>
      </c>
      <c r="B37" s="240">
        <v>123965.4</v>
      </c>
      <c r="C37" s="240">
        <v>31908.73</v>
      </c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>
        <v>171996.07</v>
      </c>
      <c r="C39" s="240">
        <v>38923.89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295961.46999999997</v>
      </c>
      <c r="C40" s="231">
        <f>SUM(C37:C39)</f>
        <v>70832.62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F38" sqref="F38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WINNISQUAM REGIONAL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12112746.01</v>
      </c>
      <c r="D5" s="20">
        <f>SUM('DOE25'!L197:L200)+SUM('DOE25'!L215:L218)+SUM('DOE25'!L233:L236)-F5-G5</f>
        <v>11951792.02</v>
      </c>
      <c r="E5" s="243"/>
      <c r="F5" s="255">
        <f>SUM('DOE25'!J197:J200)+SUM('DOE25'!J215:J218)+SUM('DOE25'!J233:J236)</f>
        <v>139698.85</v>
      </c>
      <c r="G5" s="53">
        <f>SUM('DOE25'!K197:K200)+SUM('DOE25'!K215:K218)+SUM('DOE25'!K233:K236)</f>
        <v>21255.14</v>
      </c>
      <c r="H5" s="259"/>
    </row>
    <row r="6" spans="1:9" x14ac:dyDescent="0.2">
      <c r="A6" s="32">
        <v>2100</v>
      </c>
      <c r="B6" t="s">
        <v>801</v>
      </c>
      <c r="C6" s="245">
        <f t="shared" si="0"/>
        <v>1455496.67</v>
      </c>
      <c r="D6" s="20">
        <f>'DOE25'!L202+'DOE25'!L220+'DOE25'!L238-F6-G6</f>
        <v>1450307.0699999998</v>
      </c>
      <c r="E6" s="243"/>
      <c r="F6" s="255">
        <f>'DOE25'!J202+'DOE25'!J220+'DOE25'!J238</f>
        <v>4667.6000000000004</v>
      </c>
      <c r="G6" s="53">
        <f>'DOE25'!K202+'DOE25'!K220+'DOE25'!K238</f>
        <v>522</v>
      </c>
      <c r="H6" s="259"/>
    </row>
    <row r="7" spans="1:9" x14ac:dyDescent="0.2">
      <c r="A7" s="32">
        <v>2200</v>
      </c>
      <c r="B7" t="s">
        <v>834</v>
      </c>
      <c r="C7" s="245">
        <f t="shared" si="0"/>
        <v>607336.2300000001</v>
      </c>
      <c r="D7" s="20">
        <f>'DOE25'!L203+'DOE25'!L221+'DOE25'!L239-F7-G7</f>
        <v>606634.2300000001</v>
      </c>
      <c r="E7" s="243"/>
      <c r="F7" s="255">
        <f>'DOE25'!J203+'DOE25'!J221+'DOE25'!J239</f>
        <v>0</v>
      </c>
      <c r="G7" s="53">
        <f>'DOE25'!K203+'DOE25'!K221+'DOE25'!K239</f>
        <v>702</v>
      </c>
      <c r="H7" s="259"/>
    </row>
    <row r="8" spans="1:9" x14ac:dyDescent="0.2">
      <c r="A8" s="32">
        <v>2300</v>
      </c>
      <c r="B8" t="s">
        <v>802</v>
      </c>
      <c r="C8" s="245">
        <f t="shared" si="0"/>
        <v>971347.32000000007</v>
      </c>
      <c r="D8" s="243"/>
      <c r="E8" s="20">
        <f>'DOE25'!L204+'DOE25'!L222+'DOE25'!L240-F8-G8-D9-D11</f>
        <v>777066.82000000007</v>
      </c>
      <c r="F8" s="255">
        <f>'DOE25'!J204+'DOE25'!J222+'DOE25'!J240</f>
        <v>184732.78999999998</v>
      </c>
      <c r="G8" s="53">
        <f>'DOE25'!K204+'DOE25'!K222+'DOE25'!K240</f>
        <v>9547.7100000000009</v>
      </c>
      <c r="H8" s="259"/>
    </row>
    <row r="9" spans="1:9" x14ac:dyDescent="0.2">
      <c r="A9" s="32">
        <v>2310</v>
      </c>
      <c r="B9" t="s">
        <v>818</v>
      </c>
      <c r="C9" s="245">
        <f t="shared" si="0"/>
        <v>204705.49</v>
      </c>
      <c r="D9" s="244">
        <v>204705.49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18000</v>
      </c>
      <c r="D10" s="243"/>
      <c r="E10" s="244">
        <v>18000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414448.81</v>
      </c>
      <c r="D11" s="244">
        <v>414448.81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1418938.93</v>
      </c>
      <c r="D12" s="20">
        <f>'DOE25'!L205+'DOE25'!L223+'DOE25'!L241-F12-G12</f>
        <v>1408778.0599999998</v>
      </c>
      <c r="E12" s="243"/>
      <c r="F12" s="255">
        <f>'DOE25'!J205+'DOE25'!J223+'DOE25'!J241</f>
        <v>0</v>
      </c>
      <c r="G12" s="53">
        <f>'DOE25'!K205+'DOE25'!K223+'DOE25'!K241</f>
        <v>10160.869999999999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331989.65999999997</v>
      </c>
      <c r="D13" s="243"/>
      <c r="E13" s="20">
        <f>'DOE25'!L206+'DOE25'!L224+'DOE25'!L242-F13-G13</f>
        <v>331989.65999999997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2551915.7899999996</v>
      </c>
      <c r="D14" s="20">
        <f>'DOE25'!L207+'DOE25'!L225+'DOE25'!L243-F14-G14</f>
        <v>2414278.1399999997</v>
      </c>
      <c r="E14" s="243"/>
      <c r="F14" s="255">
        <f>'DOE25'!J207+'DOE25'!J225+'DOE25'!J243</f>
        <v>136435.4</v>
      </c>
      <c r="G14" s="53">
        <f>'DOE25'!K207+'DOE25'!K225+'DOE25'!K243</f>
        <v>1202.25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1175014.6200000001</v>
      </c>
      <c r="D15" s="20">
        <f>'DOE25'!L208+'DOE25'!L226+'DOE25'!L244-F15-G15</f>
        <v>1175014.6200000001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19935</v>
      </c>
      <c r="D22" s="243"/>
      <c r="E22" s="243"/>
      <c r="F22" s="255">
        <f>'DOE25'!L255+'DOE25'!L336</f>
        <v>19935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1794445.99</v>
      </c>
      <c r="D25" s="243"/>
      <c r="E25" s="243"/>
      <c r="F25" s="258"/>
      <c r="G25" s="256"/>
      <c r="H25" s="257">
        <f>'DOE25'!L260+'DOE25'!L261+'DOE25'!L341+'DOE25'!L342</f>
        <v>1794445.99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308361.13000000006</v>
      </c>
      <c r="D29" s="20">
        <f>'DOE25'!L358+'DOE25'!L359+'DOE25'!L360-'DOE25'!I367-F29-G29</f>
        <v>299931.20000000007</v>
      </c>
      <c r="E29" s="243"/>
      <c r="F29" s="255">
        <f>'DOE25'!J358+'DOE25'!J359+'DOE25'!J360</f>
        <v>4405.83</v>
      </c>
      <c r="G29" s="53">
        <f>'DOE25'!K358+'DOE25'!K359+'DOE25'!K360</f>
        <v>4024.1000000000004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1207299.2989999999</v>
      </c>
      <c r="D31" s="20">
        <f>'DOE25'!L290+'DOE25'!L309+'DOE25'!L328+'DOE25'!L333+'DOE25'!L334+'DOE25'!L335-F31-G31</f>
        <v>1065968.149</v>
      </c>
      <c r="E31" s="243"/>
      <c r="F31" s="255">
        <f>'DOE25'!J290+'DOE25'!J309+'DOE25'!J328+'DOE25'!J333+'DOE25'!J334+'DOE25'!J335</f>
        <v>134898.19</v>
      </c>
      <c r="G31" s="53">
        <f>'DOE25'!K290+'DOE25'!K309+'DOE25'!K328+'DOE25'!K333+'DOE25'!K334+'DOE25'!K335</f>
        <v>6432.96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20991857.789000001</v>
      </c>
      <c r="E33" s="246">
        <f>SUM(E5:E31)</f>
        <v>1127056.48</v>
      </c>
      <c r="F33" s="246">
        <f>SUM(F5:F31)</f>
        <v>624773.66</v>
      </c>
      <c r="G33" s="246">
        <f>SUM(G5:G31)</f>
        <v>53847.03</v>
      </c>
      <c r="H33" s="246">
        <f>SUM(H5:H31)</f>
        <v>1794445.99</v>
      </c>
    </row>
    <row r="35" spans="2:8" ht="12" thickBot="1" x14ac:dyDescent="0.25">
      <c r="B35" s="253" t="s">
        <v>847</v>
      </c>
      <c r="D35" s="254">
        <f>E33</f>
        <v>1127056.48</v>
      </c>
      <c r="E35" s="249"/>
    </row>
    <row r="36" spans="2:8" ht="12" thickTop="1" x14ac:dyDescent="0.2">
      <c r="B36" t="s">
        <v>815</v>
      </c>
      <c r="D36" s="20">
        <f>D33</f>
        <v>20991857.789000001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WINNISQUAM REGIONAL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1315571.24</v>
      </c>
      <c r="D8" s="95">
        <f>'DOE25'!G9</f>
        <v>2854.52</v>
      </c>
      <c r="E8" s="95">
        <f>'DOE25'!H9</f>
        <v>18474.97</v>
      </c>
      <c r="F8" s="95">
        <f>'DOE25'!I9</f>
        <v>0</v>
      </c>
      <c r="G8" s="95">
        <f>'DOE25'!J9</f>
        <v>1594546.91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839538.59</v>
      </c>
      <c r="D11" s="95">
        <f>'DOE25'!G12</f>
        <v>182871.88</v>
      </c>
      <c r="E11" s="95">
        <f>'DOE25'!H12</f>
        <v>1075.55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3191.17</v>
      </c>
      <c r="D12" s="95">
        <f>'DOE25'!G13</f>
        <v>24124.73</v>
      </c>
      <c r="E12" s="95">
        <f>'DOE25'!H13</f>
        <v>337794.72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68442.509999999995</v>
      </c>
      <c r="D13" s="95">
        <f>'DOE25'!G14</f>
        <v>2361.39</v>
      </c>
      <c r="E13" s="95">
        <f>'DOE25'!H14</f>
        <v>1771.26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5175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5993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2231918.5099999998</v>
      </c>
      <c r="D18" s="41">
        <f>SUM(D8:D17)</f>
        <v>212212.52000000002</v>
      </c>
      <c r="E18" s="41">
        <f>SUM(E8:E17)</f>
        <v>359116.5</v>
      </c>
      <c r="F18" s="41">
        <f>SUM(F8:F17)</f>
        <v>0</v>
      </c>
      <c r="G18" s="41">
        <f>SUM(G8:G17)</f>
        <v>1600539.91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329403.65999999997</v>
      </c>
      <c r="F21" s="95">
        <f>'DOE25'!I22</f>
        <v>0</v>
      </c>
      <c r="G21" s="95">
        <f>'DOE25'!J22</f>
        <v>690185.22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190733.36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137080.19</v>
      </c>
      <c r="D27" s="95">
        <f>'DOE25'!G28</f>
        <v>4520.38</v>
      </c>
      <c r="E27" s="95">
        <f>'DOE25'!H28</f>
        <v>0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424459.89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8472.2199999999993</v>
      </c>
      <c r="E29" s="95">
        <f>'DOE25'!H30</f>
        <v>10016.19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752273.44</v>
      </c>
      <c r="D31" s="41">
        <f>SUM(D21:D30)</f>
        <v>12992.599999999999</v>
      </c>
      <c r="E31" s="41">
        <f>SUM(E21:E30)</f>
        <v>339419.85</v>
      </c>
      <c r="F31" s="41">
        <f>SUM(F21:F30)</f>
        <v>0</v>
      </c>
      <c r="G31" s="41">
        <f>SUM(G21:G30)</f>
        <v>690185.22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490000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0</v>
      </c>
      <c r="D47" s="95">
        <f>'DOE25'!G48</f>
        <v>193321.77</v>
      </c>
      <c r="E47" s="95">
        <f>'DOE25'!H48</f>
        <v>19696.650000000001</v>
      </c>
      <c r="F47" s="95">
        <f>'DOE25'!I48</f>
        <v>0</v>
      </c>
      <c r="G47" s="95">
        <f>'DOE25'!J48</f>
        <v>910354.69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334638.21999999997</v>
      </c>
      <c r="D48" s="95">
        <f>'DOE25'!G49</f>
        <v>5898.15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655006.85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1479645.0699999998</v>
      </c>
      <c r="D50" s="41">
        <f>SUM(D34:D49)</f>
        <v>199219.91999999998</v>
      </c>
      <c r="E50" s="41">
        <f>SUM(E34:E49)</f>
        <v>19696.650000000001</v>
      </c>
      <c r="F50" s="41">
        <f>SUM(F34:F49)</f>
        <v>0</v>
      </c>
      <c r="G50" s="41">
        <f>SUM(G34:G49)</f>
        <v>910354.69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2231918.5099999998</v>
      </c>
      <c r="D51" s="41">
        <f>D50+D31</f>
        <v>212212.52</v>
      </c>
      <c r="E51" s="41">
        <f>E50+E31</f>
        <v>359116.5</v>
      </c>
      <c r="F51" s="41">
        <f>F50+F31</f>
        <v>0</v>
      </c>
      <c r="G51" s="41">
        <f>G50+G31</f>
        <v>1600539.91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12871470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216889.25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5504.88</v>
      </c>
      <c r="D59" s="95">
        <f>'DOE25'!G96</f>
        <v>0</v>
      </c>
      <c r="E59" s="95">
        <f>'DOE25'!H96</f>
        <v>15.36</v>
      </c>
      <c r="F59" s="95">
        <f>'DOE25'!I96</f>
        <v>0</v>
      </c>
      <c r="G59" s="95">
        <f>'DOE25'!J96</f>
        <v>2186.15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310757.57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425159.61</v>
      </c>
      <c r="D61" s="95">
        <f>SUM('DOE25'!G98:G110)</f>
        <v>0</v>
      </c>
      <c r="E61" s="95">
        <f>SUM('DOE25'!H98:H110)</f>
        <v>12641.710000000001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647553.74</v>
      </c>
      <c r="D62" s="130">
        <f>SUM(D57:D61)</f>
        <v>310757.57</v>
      </c>
      <c r="E62" s="130">
        <f>SUM(E57:E61)</f>
        <v>12657.070000000002</v>
      </c>
      <c r="F62" s="130">
        <f>SUM(F57:F61)</f>
        <v>0</v>
      </c>
      <c r="G62" s="130">
        <f>SUM(G57:G61)</f>
        <v>2186.15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13519023.74</v>
      </c>
      <c r="D63" s="22">
        <f>D56+D62</f>
        <v>310757.57</v>
      </c>
      <c r="E63" s="22">
        <f>E56+E62</f>
        <v>12657.070000000002</v>
      </c>
      <c r="F63" s="22">
        <f>F56+F62</f>
        <v>0</v>
      </c>
      <c r="G63" s="22">
        <f>G56+G62</f>
        <v>2186.15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6267923.3399999999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2820029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9426.41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9087952.3399999999</v>
      </c>
      <c r="D70" s="139">
        <f>D69</f>
        <v>9426.41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847128.46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303145.95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66426.760000000009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3763.96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1220465.1299999999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57580.52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10308417.469999999</v>
      </c>
      <c r="D81" s="130">
        <f>SUM(D79:D80)+D78+D70</f>
        <v>9426.41</v>
      </c>
      <c r="E81" s="130">
        <f>SUM(E79:E80)+E78+E70</f>
        <v>57580.52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349327.66</v>
      </c>
      <c r="D88" s="95">
        <f>SUM('DOE25'!G153:G161)</f>
        <v>311891.12</v>
      </c>
      <c r="E88" s="95">
        <f>SUM('DOE25'!H153:H161)</f>
        <v>1138707.1000000001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349327.66</v>
      </c>
      <c r="D91" s="131">
        <f>SUM(D85:D90)</f>
        <v>311891.12</v>
      </c>
      <c r="E91" s="131">
        <f>SUM(E85:E90)</f>
        <v>1138707.1000000001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5967.97</v>
      </c>
      <c r="E96" s="95">
        <f>'DOE25'!H179</f>
        <v>0</v>
      </c>
      <c r="F96" s="95">
        <f>'DOE25'!I179</f>
        <v>0</v>
      </c>
      <c r="G96" s="95">
        <f>'DOE25'!J179</f>
        <v>450000</v>
      </c>
    </row>
    <row r="97" spans="1:7" x14ac:dyDescent="0.2">
      <c r="A97" t="s">
        <v>758</v>
      </c>
      <c r="B97" s="32" t="s">
        <v>188</v>
      </c>
      <c r="C97" s="95">
        <f>SUM('DOE25'!F180:F181)</f>
        <v>1242.4000000000001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1242.4000000000001</v>
      </c>
      <c r="D103" s="86">
        <f>SUM(D93:D102)</f>
        <v>5967.97</v>
      </c>
      <c r="E103" s="86">
        <f>SUM(E93:E102)</f>
        <v>0</v>
      </c>
      <c r="F103" s="86">
        <f>SUM(F93:F102)</f>
        <v>0</v>
      </c>
      <c r="G103" s="86">
        <f>SUM(G93:G102)</f>
        <v>450000</v>
      </c>
    </row>
    <row r="104" spans="1:7" ht="12.75" thickTop="1" thickBot="1" x14ac:dyDescent="0.25">
      <c r="A104" s="33" t="s">
        <v>765</v>
      </c>
      <c r="C104" s="86">
        <f>C63+C81+C91+C103</f>
        <v>24178011.27</v>
      </c>
      <c r="D104" s="86">
        <f>D63+D81+D91+D103</f>
        <v>638043.06999999995</v>
      </c>
      <c r="E104" s="86">
        <f>E63+E81+E91+E103</f>
        <v>1208944.6900000002</v>
      </c>
      <c r="F104" s="86">
        <f>F63+F81+F91+F103</f>
        <v>0</v>
      </c>
      <c r="G104" s="86">
        <f>G63+G81+G103</f>
        <v>452186.15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7746422.1299999999</v>
      </c>
      <c r="D109" s="24" t="s">
        <v>289</v>
      </c>
      <c r="E109" s="95">
        <f>('DOE25'!L276)+('DOE25'!L295)+('DOE25'!L314)</f>
        <v>490782.84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3374745.1900000004</v>
      </c>
      <c r="D110" s="24" t="s">
        <v>289</v>
      </c>
      <c r="E110" s="95">
        <f>('DOE25'!L277)+('DOE25'!L296)+('DOE25'!L315)</f>
        <v>287740.08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487234.98</v>
      </c>
      <c r="D111" s="24" t="s">
        <v>289</v>
      </c>
      <c r="E111" s="95">
        <f>('DOE25'!L278)+('DOE25'!L297)+('DOE25'!L316)</f>
        <v>25527.21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504343.70999999996</v>
      </c>
      <c r="D112" s="24" t="s">
        <v>289</v>
      </c>
      <c r="E112" s="95">
        <f>+('DOE25'!L279)+('DOE25'!L298)+('DOE25'!L317)</f>
        <v>4530.0200000000004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12112746.010000002</v>
      </c>
      <c r="D115" s="86">
        <f>SUM(D109:D114)</f>
        <v>0</v>
      </c>
      <c r="E115" s="86">
        <f>SUM(E109:E114)</f>
        <v>808580.15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1455496.67</v>
      </c>
      <c r="D118" s="24" t="s">
        <v>289</v>
      </c>
      <c r="E118" s="95">
        <f>+('DOE25'!L281)+('DOE25'!L300)+('DOE25'!L319)</f>
        <v>100147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607336.2300000001</v>
      </c>
      <c r="D119" s="24" t="s">
        <v>289</v>
      </c>
      <c r="E119" s="95">
        <f>+('DOE25'!L282)+('DOE25'!L301)+('DOE25'!L320)</f>
        <v>187742.85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1590501.62</v>
      </c>
      <c r="D120" s="24" t="s">
        <v>289</v>
      </c>
      <c r="E120" s="95">
        <f>+('DOE25'!L283)+('DOE25'!L302)+('DOE25'!L321)</f>
        <v>42295.82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1418938.93</v>
      </c>
      <c r="D121" s="24" t="s">
        <v>289</v>
      </c>
      <c r="E121" s="95">
        <f>+('DOE25'!L284)+('DOE25'!L303)+('DOE25'!L322)</f>
        <v>4534.96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331989.65999999997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2551915.7899999996</v>
      </c>
      <c r="D123" s="24" t="s">
        <v>289</v>
      </c>
      <c r="E123" s="95">
        <f>+('DOE25'!L286)+('DOE25'!L305)+('DOE25'!L324)</f>
        <v>53998.519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1175014.6200000001</v>
      </c>
      <c r="D124" s="24" t="s">
        <v>289</v>
      </c>
      <c r="E124" s="95">
        <f>+('DOE25'!L287)+('DOE25'!L306)+('DOE25'!L325)</f>
        <v>10000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600190.17000000004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9131193.5199999996</v>
      </c>
      <c r="D128" s="86">
        <f>SUM(D118:D127)</f>
        <v>600190.17000000004</v>
      </c>
      <c r="E128" s="86">
        <f>SUM(E118:E127)</f>
        <v>398719.14899999998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19935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1547685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246760.99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1242.4000000000001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5967.97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451881.01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305.14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-2186.1500000000233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2270348.96</v>
      </c>
      <c r="D144" s="141">
        <f>SUM(D130:D143)</f>
        <v>0</v>
      </c>
      <c r="E144" s="141">
        <f>SUM(E130:E143)</f>
        <v>1242.4000000000001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23514288.490000002</v>
      </c>
      <c r="D145" s="86">
        <f>(D115+D128+D144)</f>
        <v>600190.17000000004</v>
      </c>
      <c r="E145" s="86">
        <f>(E115+E128+E144)</f>
        <v>1208541.699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13</v>
      </c>
      <c r="C151" s="153">
        <f>'DOE25'!G490</f>
        <v>10</v>
      </c>
      <c r="D151" s="153">
        <f>'DOE25'!H490</f>
        <v>15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1/03</v>
      </c>
      <c r="C152" s="152" t="str">
        <f>'DOE25'!G491</f>
        <v>3/11</v>
      </c>
      <c r="D152" s="152" t="str">
        <f>'DOE25'!H491</f>
        <v>11/19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1/15</v>
      </c>
      <c r="C153" s="152" t="str">
        <f>'DOE25'!G492</f>
        <v>8/21</v>
      </c>
      <c r="D153" s="152" t="str">
        <f>'DOE25'!H492</f>
        <v>12/25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7005000</v>
      </c>
      <c r="C154" s="137">
        <f>'DOE25'!G493</f>
        <v>8625000</v>
      </c>
      <c r="D154" s="137">
        <f>'DOE25'!H493</f>
        <v>3396240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3.2</v>
      </c>
      <c r="C155" s="137">
        <f>'DOE25'!G494</f>
        <v>3.19</v>
      </c>
      <c r="D155" s="137">
        <f>'DOE25'!H494</f>
        <v>1.4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435000</v>
      </c>
      <c r="C156" s="137">
        <f>'DOE25'!G495</f>
        <v>6695000</v>
      </c>
      <c r="D156" s="137">
        <f>'DOE25'!H495</f>
        <v>2506143</v>
      </c>
      <c r="E156" s="137">
        <f>'DOE25'!I495</f>
        <v>0</v>
      </c>
      <c r="F156" s="137">
        <f>'DOE25'!J495</f>
        <v>0</v>
      </c>
      <c r="G156" s="138">
        <f>SUM(B156:F156)</f>
        <v>9636143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435000</v>
      </c>
      <c r="C158" s="137">
        <f>'DOE25'!G497</f>
        <v>890000</v>
      </c>
      <c r="D158" s="137">
        <f>'DOE25'!H497</f>
        <v>222685</v>
      </c>
      <c r="E158" s="137">
        <f>'DOE25'!I497</f>
        <v>0</v>
      </c>
      <c r="F158" s="137">
        <f>'DOE25'!J497</f>
        <v>0</v>
      </c>
      <c r="G158" s="138">
        <f t="shared" si="0"/>
        <v>1547685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5805000</v>
      </c>
      <c r="D159" s="137">
        <f>'DOE25'!H498</f>
        <v>2283458</v>
      </c>
      <c r="E159" s="137">
        <f>'DOE25'!I498</f>
        <v>0</v>
      </c>
      <c r="F159" s="137">
        <f>'DOE25'!J498</f>
        <v>0</v>
      </c>
      <c r="G159" s="138">
        <f t="shared" si="0"/>
        <v>8088458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715587.58</v>
      </c>
      <c r="D160" s="137">
        <f>'DOE25'!H499</f>
        <v>177042</v>
      </c>
      <c r="E160" s="137">
        <f>'DOE25'!I499</f>
        <v>0</v>
      </c>
      <c r="F160" s="137">
        <f>'DOE25'!J499</f>
        <v>0</v>
      </c>
      <c r="G160" s="138">
        <f t="shared" si="0"/>
        <v>892629.58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6520587.5800000001</v>
      </c>
      <c r="D161" s="137">
        <f>'DOE25'!H500</f>
        <v>2460500</v>
      </c>
      <c r="E161" s="137">
        <f>'DOE25'!I500</f>
        <v>0</v>
      </c>
      <c r="F161" s="137">
        <f>'DOE25'!J500</f>
        <v>0</v>
      </c>
      <c r="G161" s="138">
        <f t="shared" si="0"/>
        <v>8981087.5800000001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870000</v>
      </c>
      <c r="D162" s="137">
        <f>'DOE25'!H501</f>
        <v>223703</v>
      </c>
      <c r="E162" s="137">
        <f>'DOE25'!I501</f>
        <v>0</v>
      </c>
      <c r="F162" s="137">
        <f>'DOE25'!J501</f>
        <v>0</v>
      </c>
      <c r="G162" s="138">
        <f t="shared" si="0"/>
        <v>1093703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176675</v>
      </c>
      <c r="D163" s="137">
        <f>'DOE25'!H502</f>
        <v>31968</v>
      </c>
      <c r="E163" s="137">
        <f>'DOE25'!I502</f>
        <v>0</v>
      </c>
      <c r="F163" s="137">
        <f>'DOE25'!J502</f>
        <v>0</v>
      </c>
      <c r="G163" s="138">
        <f t="shared" si="0"/>
        <v>208643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1046675</v>
      </c>
      <c r="D164" s="137">
        <f>'DOE25'!H503</f>
        <v>255671</v>
      </c>
      <c r="E164" s="137">
        <f>'DOE25'!I503</f>
        <v>0</v>
      </c>
      <c r="F164" s="137">
        <f>'DOE25'!J503</f>
        <v>0</v>
      </c>
      <c r="G164" s="138">
        <f t="shared" si="0"/>
        <v>1302346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4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WINNISQUAM REGIONAL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14915</v>
      </c>
    </row>
    <row r="5" spans="1:4" x14ac:dyDescent="0.2">
      <c r="B5" t="s">
        <v>704</v>
      </c>
      <c r="C5" s="179">
        <f>IF('DOE25'!G665+'DOE25'!G670=0,0,ROUND('DOE25'!G672,0))</f>
        <v>13811</v>
      </c>
    </row>
    <row r="6" spans="1:4" x14ac:dyDescent="0.2">
      <c r="B6" t="s">
        <v>62</v>
      </c>
      <c r="C6" s="179">
        <f>IF('DOE25'!H665+'DOE25'!H670=0,0,ROUND('DOE25'!H672,0))</f>
        <v>14613</v>
      </c>
    </row>
    <row r="7" spans="1:4" x14ac:dyDescent="0.2">
      <c r="B7" t="s">
        <v>705</v>
      </c>
      <c r="C7" s="179">
        <f>IF('DOE25'!I665+'DOE25'!I670=0,0,ROUND('DOE25'!I672,0))</f>
        <v>14543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8237205</v>
      </c>
      <c r="D10" s="182">
        <f>ROUND((C10/$C$28)*100,1)</f>
        <v>35.799999999999997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3662485</v>
      </c>
      <c r="D11" s="182">
        <f>ROUND((C11/$C$28)*100,1)</f>
        <v>15.9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512762</v>
      </c>
      <c r="D12" s="182">
        <f>ROUND((C12/$C$28)*100,1)</f>
        <v>2.2000000000000002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508874</v>
      </c>
      <c r="D13" s="182">
        <f>ROUND((C13/$C$28)*100,1)</f>
        <v>2.2000000000000002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1555644</v>
      </c>
      <c r="D15" s="182">
        <f t="shared" ref="D15:D27" si="0">ROUND((C15/$C$28)*100,1)</f>
        <v>6.8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795079</v>
      </c>
      <c r="D16" s="182">
        <f t="shared" si="0"/>
        <v>3.5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1632797</v>
      </c>
      <c r="D17" s="182">
        <f t="shared" si="0"/>
        <v>7.1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1423474</v>
      </c>
      <c r="D18" s="182">
        <f t="shared" si="0"/>
        <v>6.2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331990</v>
      </c>
      <c r="D19" s="182">
        <f t="shared" si="0"/>
        <v>1.4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2605914</v>
      </c>
      <c r="D20" s="182">
        <f t="shared" si="0"/>
        <v>11.3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1185015</v>
      </c>
      <c r="D21" s="182">
        <f t="shared" si="0"/>
        <v>5.2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246761</v>
      </c>
      <c r="D25" s="182">
        <f t="shared" si="0"/>
        <v>1.1000000000000001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289432.43</v>
      </c>
      <c r="D27" s="182">
        <f t="shared" si="0"/>
        <v>1.3</v>
      </c>
    </row>
    <row r="28" spans="1:4" x14ac:dyDescent="0.2">
      <c r="B28" s="187" t="s">
        <v>723</v>
      </c>
      <c r="C28" s="180">
        <f>SUM(C10:C27)</f>
        <v>22987432.43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19935</v>
      </c>
    </row>
    <row r="30" spans="1:4" x14ac:dyDescent="0.2">
      <c r="B30" s="187" t="s">
        <v>729</v>
      </c>
      <c r="C30" s="180">
        <f>SUM(C28:C29)</f>
        <v>23007367.43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1547685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12871470</v>
      </c>
      <c r="D35" s="182">
        <f t="shared" ref="D35:D40" si="1">ROUND((C35/$C$41)*100,1)</f>
        <v>50.1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662396.96000000089</v>
      </c>
      <c r="D36" s="182">
        <f t="shared" si="1"/>
        <v>2.6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9087952</v>
      </c>
      <c r="D37" s="182">
        <f t="shared" si="1"/>
        <v>35.299999999999997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1287472</v>
      </c>
      <c r="D38" s="182">
        <f t="shared" si="1"/>
        <v>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1799926</v>
      </c>
      <c r="D39" s="182">
        <f t="shared" si="1"/>
        <v>7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25709216.960000001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WINNISQUAM REGIONAL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2015-08-31T16:03:54Z</cp:lastPrinted>
  <dcterms:created xsi:type="dcterms:W3CDTF">1997-12-04T19:04:30Z</dcterms:created>
  <dcterms:modified xsi:type="dcterms:W3CDTF">2015-12-08T13:51:11Z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