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13215" yWindow="375" windowWidth="15585" windowHeight="110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E119" i="2" s="1"/>
  <c r="L283" i="1"/>
  <c r="E120" i="2" s="1"/>
  <c r="L284" i="1"/>
  <c r="E121" i="2" s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3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K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C113" i="2"/>
  <c r="E113" i="2"/>
  <c r="C114" i="2"/>
  <c r="E114" i="2"/>
  <c r="D115" i="2"/>
  <c r="F115" i="2"/>
  <c r="G115" i="2"/>
  <c r="C119" i="2"/>
  <c r="C122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H461" i="1"/>
  <c r="F470" i="1"/>
  <c r="F476" i="1" s="1"/>
  <c r="H622" i="1" s="1"/>
  <c r="G470" i="1"/>
  <c r="H470" i="1"/>
  <c r="I470" i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0" i="1"/>
  <c r="G641" i="1"/>
  <c r="H641" i="1"/>
  <c r="G643" i="1"/>
  <c r="H643" i="1"/>
  <c r="G644" i="1"/>
  <c r="G645" i="1"/>
  <c r="H645" i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I257" i="1"/>
  <c r="I271" i="1" s="1"/>
  <c r="G164" i="2"/>
  <c r="C26" i="10"/>
  <c r="L328" i="1"/>
  <c r="L351" i="1"/>
  <c r="C70" i="2"/>
  <c r="D62" i="2"/>
  <c r="D63" i="2" s="1"/>
  <c r="D18" i="13"/>
  <c r="C18" i="13" s="1"/>
  <c r="D17" i="13"/>
  <c r="C17" i="13" s="1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D19" i="13"/>
  <c r="C19" i="13" s="1"/>
  <c r="E13" i="13"/>
  <c r="C13" i="13" s="1"/>
  <c r="E78" i="2"/>
  <c r="E81" i="2" s="1"/>
  <c r="L427" i="1"/>
  <c r="J257" i="1"/>
  <c r="J271" i="1" s="1"/>
  <c r="H112" i="1"/>
  <c r="J641" i="1"/>
  <c r="J571" i="1"/>
  <c r="K571" i="1"/>
  <c r="L433" i="1"/>
  <c r="L419" i="1"/>
  <c r="I169" i="1"/>
  <c r="H169" i="1"/>
  <c r="J643" i="1"/>
  <c r="I476" i="1"/>
  <c r="H625" i="1" s="1"/>
  <c r="J625" i="1" s="1"/>
  <c r="G476" i="1"/>
  <c r="H623" i="1" s="1"/>
  <c r="J623" i="1" s="1"/>
  <c r="J140" i="1"/>
  <c r="F571" i="1"/>
  <c r="I552" i="1"/>
  <c r="G22" i="2"/>
  <c r="K545" i="1"/>
  <c r="C29" i="10"/>
  <c r="H140" i="1"/>
  <c r="L401" i="1"/>
  <c r="C139" i="2" s="1"/>
  <c r="A13" i="12"/>
  <c r="F22" i="13"/>
  <c r="C22" i="13" s="1"/>
  <c r="L560" i="1"/>
  <c r="J545" i="1"/>
  <c r="H338" i="1"/>
  <c r="H352" i="1" s="1"/>
  <c r="H192" i="1"/>
  <c r="L309" i="1"/>
  <c r="E16" i="13"/>
  <c r="J655" i="1"/>
  <c r="J645" i="1"/>
  <c r="L570" i="1"/>
  <c r="I571" i="1"/>
  <c r="J636" i="1"/>
  <c r="G36" i="2"/>
  <c r="L565" i="1"/>
  <c r="C16" i="13"/>
  <c r="H545" i="1" l="1"/>
  <c r="G552" i="1"/>
  <c r="L529" i="1"/>
  <c r="C11" i="10"/>
  <c r="K598" i="1"/>
  <c r="G647" i="1" s="1"/>
  <c r="H257" i="1"/>
  <c r="H271" i="1" s="1"/>
  <c r="A40" i="12"/>
  <c r="J634" i="1"/>
  <c r="J476" i="1"/>
  <c r="H626" i="1" s="1"/>
  <c r="C35" i="10"/>
  <c r="F112" i="1"/>
  <c r="C36" i="10" s="1"/>
  <c r="J624" i="1"/>
  <c r="K551" i="1"/>
  <c r="G545" i="1"/>
  <c r="H552" i="1"/>
  <c r="L534" i="1"/>
  <c r="L524" i="1"/>
  <c r="K549" i="1"/>
  <c r="J644" i="1"/>
  <c r="L247" i="1"/>
  <c r="H660" i="1" s="1"/>
  <c r="F662" i="1"/>
  <c r="I662" i="1" s="1"/>
  <c r="C124" i="2"/>
  <c r="C12" i="10"/>
  <c r="H52" i="1"/>
  <c r="H619" i="1" s="1"/>
  <c r="J619" i="1" s="1"/>
  <c r="J640" i="1"/>
  <c r="J639" i="1"/>
  <c r="I460" i="1"/>
  <c r="I461" i="1" s="1"/>
  <c r="H642" i="1" s="1"/>
  <c r="I446" i="1"/>
  <c r="G642" i="1" s="1"/>
  <c r="D18" i="2"/>
  <c r="C132" i="2"/>
  <c r="C131" i="2"/>
  <c r="H25" i="13"/>
  <c r="K271" i="1"/>
  <c r="C18" i="10"/>
  <c r="C17" i="10"/>
  <c r="C15" i="10"/>
  <c r="D6" i="13"/>
  <c r="C6" i="13" s="1"/>
  <c r="D7" i="13"/>
  <c r="C7" i="13" s="1"/>
  <c r="F661" i="1"/>
  <c r="H661" i="1"/>
  <c r="L290" i="1"/>
  <c r="L338" i="1" s="1"/>
  <c r="L352" i="1" s="1"/>
  <c r="G633" i="1" s="1"/>
  <c r="J633" i="1" s="1"/>
  <c r="D15" i="13"/>
  <c r="C15" i="13" s="1"/>
  <c r="G649" i="1"/>
  <c r="J649" i="1" s="1"/>
  <c r="H647" i="1"/>
  <c r="D12" i="13"/>
  <c r="C12" i="13" s="1"/>
  <c r="D5" i="13"/>
  <c r="C5" i="13" s="1"/>
  <c r="E31" i="2"/>
  <c r="D127" i="2"/>
  <c r="D128" i="2" s="1"/>
  <c r="D145" i="2" s="1"/>
  <c r="D29" i="13"/>
  <c r="C29" i="13" s="1"/>
  <c r="D14" i="13"/>
  <c r="C14" i="13" s="1"/>
  <c r="C123" i="2"/>
  <c r="C16" i="10"/>
  <c r="E128" i="2"/>
  <c r="C10" i="10"/>
  <c r="E109" i="2"/>
  <c r="E115" i="2" s="1"/>
  <c r="E8" i="13"/>
  <c r="C8" i="13" s="1"/>
  <c r="C110" i="2"/>
  <c r="L211" i="1"/>
  <c r="C109" i="2"/>
  <c r="C81" i="2"/>
  <c r="C57" i="2"/>
  <c r="C62" i="2" s="1"/>
  <c r="C63" i="2" s="1"/>
  <c r="J622" i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J647" i="1"/>
  <c r="C128" i="2"/>
  <c r="I661" i="1"/>
  <c r="F193" i="1"/>
  <c r="G627" i="1" s="1"/>
  <c r="J627" i="1" s="1"/>
  <c r="E51" i="2"/>
  <c r="L545" i="1"/>
  <c r="H646" i="1"/>
  <c r="H664" i="1"/>
  <c r="H672" i="1" s="1"/>
  <c r="C6" i="10" s="1"/>
  <c r="C25" i="13"/>
  <c r="H33" i="13"/>
  <c r="D31" i="13"/>
  <c r="C31" i="13" s="1"/>
  <c r="F660" i="1"/>
  <c r="I660" i="1" s="1"/>
  <c r="I664" i="1" s="1"/>
  <c r="I672" i="1" s="1"/>
  <c r="C7" i="10" s="1"/>
  <c r="E145" i="2"/>
  <c r="G667" i="1"/>
  <c r="C28" i="10"/>
  <c r="D25" i="10" s="1"/>
  <c r="L257" i="1"/>
  <c r="L271" i="1" s="1"/>
  <c r="G632" i="1" s="1"/>
  <c r="J632" i="1" s="1"/>
  <c r="E33" i="13"/>
  <c r="D35" i="13" s="1"/>
  <c r="C115" i="2"/>
  <c r="C145" i="2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67" i="1" l="1"/>
  <c r="F664" i="1"/>
  <c r="F667" i="1" s="1"/>
  <c r="D10" i="10"/>
  <c r="D13" i="10"/>
  <c r="D15" i="10"/>
  <c r="C30" i="10"/>
  <c r="D21" i="10"/>
  <c r="D12" i="10"/>
  <c r="D16" i="10"/>
  <c r="D27" i="10"/>
  <c r="D19" i="10"/>
  <c r="D20" i="10"/>
  <c r="D24" i="10"/>
  <c r="D18" i="10"/>
  <c r="D26" i="10"/>
  <c r="D23" i="10"/>
  <c r="D11" i="10"/>
  <c r="D17" i="10"/>
  <c r="D22" i="10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<sst xmlns="http://schemas.openxmlformats.org/spreadsheetml/2006/main" count="3955" uniqueCount="913">
  <si>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</si>
  <si>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</si>
  <si>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</si>
  <si>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</si>
  <si>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</si>
  <si>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</si>
  <si>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</si>
  <si>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</si>
  <si>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</si>
  <si>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</si>
  <si>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</si>
  <si>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</si>
  <si>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</si>
  <si>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</si>
  <si>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</si>
  <si>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</si>
  <si>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</si>
  <si>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</si>
  <si>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</si>
  <si>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</si>
  <si>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</si>
  <si>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</si>
  <si>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</si>
  <si>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</si>
  <si>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</si>
  <si>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</si>
  <si>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</si>
  <si>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</si>
  <si>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</si>
  <si>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</si>
  <si>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</si>
  <si>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</si>
  <si>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</si>
  <si>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</si>
  <si>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</si>
  <si>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</si>
  <si>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</si>
  <si>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</si>
  <si>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</si>
  <si>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</si>
  <si>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</si>
  <si>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</si>
  <si>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</si>
  <si>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</si>
  <si>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</si>
  <si>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</si>
  <si>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</si>
  <si>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</si>
  <si>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</si>
  <si>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</si>
  <si>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</si>
  <si>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</si>
  <si>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</si>
  <si>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</si>
  <si>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</si>
  <si>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</si>
  <si>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</si>
  <si>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</si>
  <si>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</si>
  <si>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</si>
  <si>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</si>
  <si>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</si>
  <si>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</si>
  <si>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</si>
  <si>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</si>
  <si>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</si>
  <si>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</si>
  <si>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</si>
  <si>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</si>
  <si>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</si>
  <si>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</si>
  <si>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</si>
  <si>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</si>
  <si>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</si>
  <si>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</si>
  <si>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</si>
  <si>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</si>
  <si>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</si>
  <si>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</si>
  <si>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</si>
  <si>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</si>
  <si>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</si>
  <si>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</si>
  <si>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</si>
  <si>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</si>
  <si>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</si>
  <si>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</si>
  <si>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</si>
  <si>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</si>
  <si>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</si>
  <si>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</si>
  <si>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</si>
  <si>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</si>
  <si>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</si>
  <si>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</si>
  <si>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</si>
  <si>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</si>
  <si>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</si>
  <si>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</si>
  <si>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</si>
  <si>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</si>
  <si>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</si>
  <si>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</si>
  <si>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</si>
  <si>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</si>
  <si>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</si>
  <si>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</si>
  <si>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</si>
  <si>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</si>
  <si>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</si>
  <si>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</si>
  <si>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</si>
  <si>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</si>
  <si>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</si>
  <si>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</si>
  <si>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</si>
  <si>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</si>
  <si>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</si>
  <si>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</si>
  <si>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</si>
  <si>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</si>
  <si>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</si>
  <si>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</si>
  <si>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</si>
  <si>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</si>
  <si>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</si>
  <si>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</si>
  <si>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</si>
  <si>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</si>
  <si>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</si>
  <si>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</si>
  <si>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</si>
  <si>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</si>
  <si>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</si>
  <si>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</si>
  <si>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</si>
  <si>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</si>
  <si>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</si>
  <si>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</si>
  <si>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</si>
  <si>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</si>
  <si>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</si>
  <si>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</si>
  <si>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</si>
  <si>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</si>
  <si>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</si>
  <si>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</si>
  <si>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</si>
  <si>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</si>
  <si>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</si>
  <si>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</si>
  <si>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</si>
  <si>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</si>
  <si>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</si>
  <si>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</si>
  <si>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</si>
  <si>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</si>
  <si>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</si>
  <si>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</si>
  <si>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</si>
  <si>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</si>
  <si>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</si>
  <si>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</si>
  <si>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</si>
  <si>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</si>
  <si>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</si>
  <si>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</si>
  <si>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</si>
  <si>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</si>
  <si>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</si>
  <si>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</si>
  <si>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</si>
  <si>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</si>
  <si>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</si>
  <si>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</si>
  <si>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</si>
  <si>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</si>
  <si>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</si>
  <si>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</si>
  <si>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</si>
  <si>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</si>
  <si>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</si>
  <si>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</si>
  <si>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</si>
  <si>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</si>
  <si>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</si>
  <si>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</si>
  <si>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</si>
  <si>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</si>
  <si>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</si>
  <si>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</si>
  <si>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</si>
  <si>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</si>
  <si>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</si>
  <si>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</si>
  <si>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</si>
  <si>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</si>
  <si>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</si>
  <si>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</si>
  <si>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</si>
  <si>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</si>
  <si>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</si>
  <si>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</si>
  <si>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</si>
  <si>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</si>
  <si>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</si>
  <si>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</si>
  <si>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</si>
  <si>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</si>
  <si>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</si>
  <si>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</si>
  <si>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</si>
  <si>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</si>
  <si>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</si>
  <si>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</si>
  <si>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</si>
  <si>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</si>
  <si>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</si>
  <si>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</si>
  <si>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</si>
  <si>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</si>
  <si>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</si>
  <si>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</si>
  <si>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</si>
  <si>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</si>
  <si>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</si>
  <si>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</si>
  <si>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</si>
  <si>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</si>
  <si>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</si>
  <si>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</si>
  <si>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</si>
  <si>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</si>
  <si>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</si>
  <si>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</si>
  <si>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</si>
  <si>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</si>
  <si>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</si>
  <si>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</si>
  <si>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</si>
  <si>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</si>
  <si>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</si>
  <si>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</si>
  <si>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</si>
  <si>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</si>
  <si>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</si>
  <si>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</si>
  <si>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</si>
  <si>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</si>
  <si>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</si>
  <si>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</si>
  <si>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</si>
  <si>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</si>
  <si>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</si>
  <si>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</si>
  <si>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</si>
  <si>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</si>
  <si>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</si>
  <si>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</si>
  <si>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</si>
  <si>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</si>
  <si>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</si>
  <si>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</si>
  <si>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</si>
  <si>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</si>
  <si>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</si>
  <si>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</si>
  <si>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</si>
  <si>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</si>
  <si>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</si>
  <si>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</si>
  <si>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</si>
  <si>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</si>
  <si>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</si>
  <si>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</si>
  <si>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</si>
  <si>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</si>
  <si>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</si>
  <si>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</si>
  <si>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</si>
  <si>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</si>
  <si>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</si>
  <si>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</si>
  <si>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</si>
  <si>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</si>
  <si>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</si>
  <si>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</si>
  <si>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</si>
  <si>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</si>
  <si>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</si>
  <si>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</si>
  <si>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</si>
  <si>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</si>
  <si>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</si>
  <si>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</si>
  <si>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</si>
  <si>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</si>
  <si>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</si>
  <si>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</si>
  <si>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</si>
  <si>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</si>
  <si>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</si>
  <si>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</si>
  <si>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</si>
  <si>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</si>
  <si>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</si>
  <si>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</si>
  <si>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</si>
  <si>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</si>
  <si>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</si>
  <si>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</si>
  <si>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</si>
  <si>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</si>
  <si>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</si>
  <si>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</si>
  <si>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</si>
  <si>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</si>
  <si>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</si>
  <si>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</si>
  <si>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</si>
  <si>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</si>
  <si>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</si>
  <si>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</si>
  <si>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</si>
  <si>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</si>
  <si>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</si>
  <si>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</si>
  <si>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</si>
  <si>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</si>
  <si>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</si>
  <si>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</si>
  <si>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</si>
  <si>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</si>
  <si>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</si>
  <si>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</si>
  <si>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</si>
  <si>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</si>
  <si>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</si>
  <si>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</si>
  <si>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</si>
  <si>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</si>
  <si>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</si>
  <si>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</si>
  <si>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</si>
  <si>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</si>
  <si>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</si>
  <si>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</si>
  <si>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</si>
  <si>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</si>
  <si>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</si>
  <si>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</si>
  <si>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</si>
  <si>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</si>
  <si>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</si>
  <si>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</si>
  <si>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</si>
  <si>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</si>
  <si>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</si>
  <si>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</si>
  <si>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</si>
  <si>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</si>
  <si>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</si>
  <si>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</si>
  <si>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</si>
  <si>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</si>
  <si>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</si>
  <si>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</si>
  <si>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</si>
  <si>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</si>
  <si>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</si>
  <si>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</si>
  <si>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</si>
  <si>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</si>
  <si>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</si>
  <si>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</si>
  <si>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</si>
  <si>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</si>
  <si>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</si>
  <si>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</si>
  <si>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</si>
  <si>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</si>
  <si>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</si>
  <si>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</si>
  <si>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</si>
  <si>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</si>
  <si>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</si>
  <si>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</si>
  <si>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</si>
  <si>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</si>
  <si>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</si>
  <si>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</si>
  <si>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</si>
  <si>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</si>
  <si>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</si>
  <si>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</si>
  <si>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</si>
  <si>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</si>
  <si>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</si>
  <si>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</si>
  <si>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</si>
  <si>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</si>
  <si>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</si>
  <si>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</si>
  <si>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</si>
  <si>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</si>
  <si>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</si>
  <si>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</si>
  <si>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</si>
  <si>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</si>
  <si>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</si>
  <si>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</si>
  <si>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</si>
  <si>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</si>
  <si>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</si>
  <si>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</si>
  <si>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</si>
  <si>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</si>
  <si>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</si>
  <si>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</si>
  <si>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</si>
  <si>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</si>
  <si>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</si>
  <si>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</si>
  <si>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</si>
  <si>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</si>
  <si>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</si>
  <si>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</si>
  <si>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</si>
  <si>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</si>
  <si>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</si>
  <si>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</si>
  <si>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</si>
  <si>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</si>
  <si>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</si>
  <si>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</si>
  <si>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</si>
  <si>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</si>
  <si>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</si>
  <si>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</si>
  <si>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</si>
  <si>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</si>
  <si>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</si>
  <si>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</si>
  <si>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</si>
  <si>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</si>
  <si>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</si>
  <si>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</si>
  <si>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</si>
  <si>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</si>
  <si>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</si>
  <si>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</si>
  <si>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</si>
  <si>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</si>
  <si>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</si>
  <si>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</si>
  <si>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</si>
  <si>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</si>
  <si>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</si>
  <si>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</si>
  <si>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</si>
  <si>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</si>
  <si>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</si>
  <si>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</si>
  <si>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</si>
  <si>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</si>
  <si>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</si>
  <si>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</si>
  <si>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</si>
  <si>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</si>
  <si>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</si>
  <si>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</si>
  <si>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</si>
  <si>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</si>
  <si>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</si>
  <si>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</si>
  <si>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</si>
  <si>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</si>
  <si>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</si>
  <si>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</si>
  <si>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</si>
  <si>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</si>
  <si>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</si>
  <si>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</si>
  <si>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</si>
  <si>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</si>
  <si>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</si>
  <si>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</si>
  <si>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</si>
  <si>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</si>
  <si>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</si>
  <si>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</si>
  <si>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</si>
  <si>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</si>
  <si>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</si>
  <si>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</si>
  <si>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</si>
  <si>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</si>
  <si>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</si>
  <si>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</si>
  <si>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</si>
  <si>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</si>
  <si>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</si>
  <si>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</si>
  <si>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</si>
  <si>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</si>
  <si>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</si>
  <si>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</si>
  <si>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</si>
  <si>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</si>
  <si>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</si>
  <si>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</si>
  <si>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</si>
  <si>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</si>
  <si>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</si>
  <si>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</si>
  <si>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</si>
  <si>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</si>
  <si>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</si>
  <si>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</si>
  <si>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</si>
  <si>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</si>
  <si>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</si>
  <si>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</si>
  <si>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</si>
  <si>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</si>
  <si>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</si>
  <si>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</si>
  <si>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</si>
  <si>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</si>
  <si>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</si>
  <si>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</si>
  <si>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</si>
  <si>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</si>
  <si>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</si>
  <si>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</si>
  <si>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</si>
  <si>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</si>
  <si>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</si>
  <si>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</si>
  <si>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</si>
  <si>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</si>
  <si>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</si>
  <si>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</si>
  <si>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</si>
  <si>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</si>
  <si>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</si>
  <si>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</si>
  <si>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</si>
  <si>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</si>
  <si>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</si>
  <si>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</si>
  <si>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</si>
  <si>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</si>
  <si>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</si>
  <si>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</si>
  <si>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</si>
  <si>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</si>
  <si>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</si>
  <si>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</si>
  <si>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</si>
  <si>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</si>
  <si>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</si>
  <si>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</si>
  <si>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</si>
  <si>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</si>
  <si>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</si>
  <si>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</si>
  <si>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</si>
  <si>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</si>
  <si>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</si>
  <si>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</si>
  <si>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</si>
  <si>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</si>
  <si>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</si>
  <si>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</si>
  <si>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</si>
  <si>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</si>
  <si>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</si>
  <si>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</si>
  <si>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</si>
  <si>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</si>
  <si>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</si>
  <si>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</si>
  <si>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</si>
  <si>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</si>
  <si>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</si>
  <si>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</si>
  <si>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</si>
  <si>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</si>
  <si>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</si>
  <si>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</si>
  <si>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</si>
  <si>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</si>
  <si>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</si>
  <si>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</si>
  <si>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</si>
  <si>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</si>
  <si>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</si>
  <si>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</si>
  <si>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</si>
  <si>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</si>
  <si>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</si>
  <si>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</si>
  <si>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</si>
  <si>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</si>
  <si>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</si>
  <si>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</si>
  <si>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</si>
  <si>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</si>
  <si>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</si>
  <si>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</si>
  <si>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</si>
  <si>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</si>
  <si>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</si>
  <si>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</si>
  <si>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</si>
  <si>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</si>
  <si>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</si>
  <si>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</si>
  <si>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</si>
  <si>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</si>
  <si>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</si>
  <si>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</si>
  <si>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</si>
  <si>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</si>
  <si>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</si>
  <si>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</si>
  <si>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</si>
  <si>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</si>
  <si>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</si>
  <si>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</si>
  <si>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</si>
  <si>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</si>
  <si>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</si>
  <si>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</si>
  <si>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</si>
  <si>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</si>
  <si>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</si>
  <si>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</si>
  <si>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</si>
  <si>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</si>
  <si>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</si>
  <si>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</si>
  <si>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</si>
  <si>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</si>
  <si>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</si>
  <si>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</si>
  <si>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</si>
  <si>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</si>
  <si>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</si>
  <si>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</si>
  <si>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</si>
  <si>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</si>
  <si>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</si>
  <si>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</si>
  <si>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</si>
  <si>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</si>
  <si>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</si>
  <si>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</si>
  <si>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</si>
  <si>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</si>
  <si>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</si>
  <si>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</si>
  <si>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</si>
  <si>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</si>
  <si>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</si>
  <si>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</si>
  <si>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</si>
  <si>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</si>
  <si>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</si>
  <si>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</si>
  <si>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</si>
  <si>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</si>
  <si>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</si>
  <si>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</si>
  <si>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</si>
  <si>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</si>
  <si>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</si>
  <si>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</si>
  <si>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</si>
  <si>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</si>
  <si>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</si>
  <si>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</si>
  <si>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</si>
  <si>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</si>
  <si>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</si>
  <si>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</si>
  <si>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</si>
  <si>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</si>
  <si>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</si>
  <si>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</si>
  <si>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</si>
  <si>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</si>
  <si>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</si>
  <si>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</si>
  <si>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</si>
  <si>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</si>
  <si>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</si>
  <si>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</si>
  <si>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</si>
  <si>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</si>
  <si>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</si>
  <si>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</si>
  <si>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</si>
  <si>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</si>
  <si>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</si>
  <si>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</si>
  <si>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</si>
  <si>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</si>
  <si>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</si>
  <si>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</si>
  <si>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</si>
  <si>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</si>
  <si>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</si>
  <si>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</si>
  <si>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</si>
  <si>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</si>
  <si>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</si>
  <si>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</si>
  <si>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</si>
  <si>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</si>
  <si>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</si>
  <si>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</si>
  <si>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</si>
  <si>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</si>
  <si>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</si>
  <si>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</si>
  <si>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</si>
  <si>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</si>
  <si>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</si>
  <si>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</si>
  <si>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</si>
  <si>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</si>
  <si>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</si>
  <si>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</si>
  <si>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</si>
  <si>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</si>
  <si>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</si>
  <si>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</si>
  <si>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</si>
  <si>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</si>
  <si>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</si>
  <si>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</si>
  <si>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</si>
  <si>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</si>
  <si>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</si>
  <si>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</si>
  <si>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</si>
  <si>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</si>
  <si>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</si>
  <si>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</si>
  <si>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</si>
  <si>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</si>
  <si>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</si>
  <si>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</si>
  <si>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</si>
  <si>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</si>
  <si>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</si>
  <si>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</si>
  <si>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</si>
  <si>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</si>
  <si>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</si>
  <si>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</si>
  <si>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</si>
  <si>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</si>
  <si>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</si>
  <si>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</si>
  <si>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</si>
  <si>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</si>
  <si>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</si>
  <si>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</si>
  <si>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</si>
  <si>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</si>
  <si>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</si>
  <si>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</si>
  <si>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</si>
  <si>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</si>
  <si>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</si>
  <si>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</si>
  <si>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</si>
  <si>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</si>
  <si>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</si>
  <si>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</si>
  <si>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</si>
  <si>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</si>
  <si>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</si>
  <si>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</si>
  <si>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</si>
  <si>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</si>
  <si>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</si>
  <si>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</si>
  <si>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</si>
  <si>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</si>
  <si>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</si>
  <si>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</si>
  <si>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</si>
  <si>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</si>
  <si>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</si>
  <si>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</si>
  <si>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</si>
  <si>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</si>
  <si>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</si>
  <si>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</si>
  <si>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</si>
  <si>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</si>
  <si>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</si>
  <si>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</si>
  <si>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</si>
  <si>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</si>
  <si>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</si>
  <si>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</si>
  <si>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</si>
  <si>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</si>
  <si>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</si>
  <si>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</si>
  <si>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</si>
  <si>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</si>
  <si>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</si>
  <si>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</si>
  <si>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</si>
  <si>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</si>
  <si>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</si>
  <si>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</si>
  <si>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</si>
  <si>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</si>
  <si>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</si>
  <si>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</si>
  <si>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</si>
  <si>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</si>
  <si>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</si>
  <si>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</si>
  <si>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</si>
  <si>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</si>
  <si>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</si>
  <si>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</si>
  <si>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</si>
  <si>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</si>
  <si>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</si>
  <si>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</si>
  <si>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</si>
  <si>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</si>
  <si>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</si>
  <si>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</si>
  <si>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</si>
  <si>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</si>
  <si>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</si>
  <si>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</si>
  <si>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</si>
  <si>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</si>
  <si>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</si>
  <si>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</si>
  <si>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</si>
  <si>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</si>
  <si>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</si>
  <si>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</si>
  <si>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</si>
  <si>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</si>
  <si>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</si>
  <si>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</si>
  <si>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</si>
  <si>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</si>
  <si>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</si>
  <si>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</si>
  <si>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</si>
  <si>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</si>
  <si>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</si>
  <si>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</si>
  <si>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</si>
  <si>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</si>
  <si>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</si>
  <si>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</si>
  <si>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</si>
  <si>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</si>
  <si>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</si>
  <si>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</si>
  <si>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</si>
  <si>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</si>
  <si>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</si>
  <si>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</si>
  <si>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</si>
  <si>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</si>
  <si>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</si>
  <si>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</si>
  <si>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</si>
  <si>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</si>
  <si>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</si>
  <si>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</si>
  <si>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</si>
  <si>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</si>
  <si>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</si>
  <si>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</si>
  <si>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</si>
  <si>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</si>
  <si>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</si>
  <si>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</si>
  <si>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</si>
  <si>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</si>
  <si>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</si>
  <si>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</si>
  <si>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</si>
  <si>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</si>
  <si>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</si>
  <si>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</si>
  <si>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</si>
  <si>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</si>
  <si>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</si>
  <si>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</si>
  <si>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</si>
  <si>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</si>
  <si>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</si>
  <si>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</si>
  <si>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</si>
  <si>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Allenstown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</si>
</sst>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2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</v>
      </c>
      <c r="C2" s="21">
        <v>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594491.53</v>
      </c>
      <c r="G9" s="18"/>
      <c r="H9" s="18"/>
      <c r="I9" s="18"/>
      <c r="J9" s="67">
        <f>SUM(I439)</f>
        <v>80648.34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44141.34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38172.129999999997</v>
      </c>
      <c r="G13" s="18">
        <v>7837.88</v>
      </c>
      <c r="H13" s="18">
        <v>52609.43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5098.4799999999996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v>1092.29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676805</v>
      </c>
      <c r="G19" s="41">
        <f>SUM(G9:G18)</f>
        <v>12936.36</v>
      </c>
      <c r="H19" s="41">
        <f>SUM(H9:H18)</f>
        <v>53701.72</v>
      </c>
      <c r="I19" s="41">
        <f>SUM(I9:I18)</f>
        <v>0</v>
      </c>
      <c r="J19" s="41">
        <f>SUM(J9:J18)</f>
        <v>80648.34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1538.68</v>
      </c>
      <c r="H22" s="18">
        <v>43694.95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243170.92</v>
      </c>
      <c r="G23" s="18">
        <v>1397.68</v>
      </c>
      <c r="H23" s="18">
        <v>8914.48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9577.1299999999992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34082.080000000002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286830.13</v>
      </c>
      <c r="G32" s="41">
        <f>SUM(G22:G31)</f>
        <v>2936.36</v>
      </c>
      <c r="H32" s="41">
        <f>SUM(H22:H31)</f>
        <v>52609.429999999993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10000</v>
      </c>
      <c r="H48" s="18">
        <v>1092.29</v>
      </c>
      <c r="I48" s="18"/>
      <c r="J48" s="13">
        <f>SUM(I459)</f>
        <v>80648.34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279974.87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389974.87</v>
      </c>
      <c r="G51" s="41">
        <f>SUM(G35:G50)</f>
        <v>10000</v>
      </c>
      <c r="H51" s="41">
        <f>SUM(H35:H50)</f>
        <v>1092.29</v>
      </c>
      <c r="I51" s="41">
        <f>SUM(I35:I50)</f>
        <v>0</v>
      </c>
      <c r="J51" s="41">
        <f>SUM(J35:J50)</f>
        <v>80648.34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676805</v>
      </c>
      <c r="G52" s="41">
        <f>G51+G32</f>
        <v>12936.36</v>
      </c>
      <c r="H52" s="41">
        <f>H51+H32</f>
        <v>53701.719999999994</v>
      </c>
      <c r="I52" s="41">
        <f>I51+I32</f>
        <v>0</v>
      </c>
      <c r="J52" s="41">
        <f>J51+J32</f>
        <v>80648.34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3971231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3971231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16296.44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16296.44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22282.46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51621.31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2400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31546.2</v>
      </c>
      <c r="G110" s="18">
        <v>0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33946.199999999997</v>
      </c>
      <c r="G111" s="41">
        <f>SUM(G96:G110)</f>
        <v>51621.31</v>
      </c>
      <c r="H111" s="41">
        <f>SUM(H96:H110)</f>
        <v>0</v>
      </c>
      <c r="I111" s="41">
        <f>SUM(I96:I110)</f>
        <v>0</v>
      </c>
      <c r="J111" s="41">
        <f>SUM(J96:J110)</f>
        <v>22282.46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4021473.64</v>
      </c>
      <c r="G112" s="41">
        <f>G60+G111</f>
        <v>51621.31</v>
      </c>
      <c r="H112" s="41">
        <f>H60+H79+H94+H111</f>
        <v>0</v>
      </c>
      <c r="I112" s="41">
        <f>I60+I111</f>
        <v>0</v>
      </c>
      <c r="J112" s="41">
        <f>J60+J111</f>
        <v>22282.46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4061407.44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594195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9823.94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4665426.38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62862.97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2152.02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62862.97</v>
      </c>
      <c r="G136" s="41">
        <f>SUM(G123:G135)</f>
        <v>2152.02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4728289.3499999996</v>
      </c>
      <c r="G140" s="41">
        <f>G121+SUM(G136:G137)</f>
        <v>2152.02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176226.14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49869.01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96361.8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140805.14000000001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14078.77</v>
      </c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140805.14000000001</v>
      </c>
      <c r="G162" s="41">
        <f>SUM(G150:G161)</f>
        <v>110440.57</v>
      </c>
      <c r="H162" s="41">
        <f>SUM(H150:H161)</f>
        <v>226095.15000000002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140805.14000000001</v>
      </c>
      <c r="G169" s="41">
        <f>G147+G162+SUM(G163:G168)</f>
        <v>110440.57</v>
      </c>
      <c r="H169" s="41">
        <f>H147+H162+SUM(H163:H168)</f>
        <v>226095.15000000002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7922.61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7922.61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28985.200000000001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28985.200000000001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28985.200000000001</v>
      </c>
      <c r="G192" s="41">
        <f>G183+SUM(G188:G191)</f>
        <v>7922.61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8919553.3300000001</v>
      </c>
      <c r="G193" s="47">
        <f>G112+G140+G169+G192</f>
        <v>172136.50999999998</v>
      </c>
      <c r="H193" s="47">
        <f>H112+H140+H169+H192</f>
        <v>226095.15000000002</v>
      </c>
      <c r="I193" s="47">
        <f>I112+I140+I169+I192</f>
        <v>0</v>
      </c>
      <c r="J193" s="47">
        <f>J112+J140+J192</f>
        <v>22282.46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1596622.45</v>
      </c>
      <c r="G197" s="18">
        <v>802728.38</v>
      </c>
      <c r="H197" s="18">
        <v>14853.96</v>
      </c>
      <c r="I197" s="18">
        <v>45935.23</v>
      </c>
      <c r="J197" s="18">
        <v>30703.15</v>
      </c>
      <c r="K197" s="18">
        <v>0</v>
      </c>
      <c r="L197" s="19">
        <f>SUM(F197:K197)</f>
        <v>2490843.17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802221.74</v>
      </c>
      <c r="G198" s="18">
        <v>403330.27</v>
      </c>
      <c r="H198" s="18">
        <v>617076.98</v>
      </c>
      <c r="I198" s="18">
        <v>9526.93</v>
      </c>
      <c r="J198" s="18">
        <v>6386.97</v>
      </c>
      <c r="K198" s="18">
        <v>970</v>
      </c>
      <c r="L198" s="19">
        <f>SUM(F198:K198)</f>
        <v>1839512.89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18700</v>
      </c>
      <c r="G200" s="18">
        <v>9401.73</v>
      </c>
      <c r="H200" s="18">
        <v>2740</v>
      </c>
      <c r="I200" s="18">
        <v>1018.97</v>
      </c>
      <c r="J200" s="18">
        <v>0</v>
      </c>
      <c r="K200" s="18">
        <v>610</v>
      </c>
      <c r="L200" s="19">
        <f>SUM(F200:K200)</f>
        <v>32470.7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279469.71000000002</v>
      </c>
      <c r="G202" s="18">
        <v>140508.03</v>
      </c>
      <c r="H202" s="18">
        <v>255545.66</v>
      </c>
      <c r="I202" s="18">
        <v>4083.32</v>
      </c>
      <c r="J202" s="18">
        <v>7399.95</v>
      </c>
      <c r="K202" s="18">
        <v>592</v>
      </c>
      <c r="L202" s="19">
        <f t="shared" ref="L202:L208" si="0">SUM(F202:K202)</f>
        <v>687598.66999999993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52843.55</v>
      </c>
      <c r="G203" s="18">
        <v>26567.97</v>
      </c>
      <c r="H203" s="18">
        <v>13184.61</v>
      </c>
      <c r="I203" s="18">
        <v>6807.08</v>
      </c>
      <c r="J203" s="18">
        <v>0</v>
      </c>
      <c r="K203" s="18">
        <v>0</v>
      </c>
      <c r="L203" s="19">
        <f t="shared" si="0"/>
        <v>99403.21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10426.48</v>
      </c>
      <c r="G204" s="18">
        <v>5242.09</v>
      </c>
      <c r="H204" s="18">
        <v>202211.93</v>
      </c>
      <c r="I204" s="18">
        <v>2012.52</v>
      </c>
      <c r="J204" s="18"/>
      <c r="K204" s="18">
        <v>5636.33</v>
      </c>
      <c r="L204" s="19">
        <f t="shared" si="0"/>
        <v>225529.34999999998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289008.31</v>
      </c>
      <c r="G205" s="18">
        <v>145303.72</v>
      </c>
      <c r="H205" s="18">
        <v>28579.74</v>
      </c>
      <c r="I205" s="18">
        <v>4664.7299999999996</v>
      </c>
      <c r="J205" s="18">
        <v>1095</v>
      </c>
      <c r="K205" s="18">
        <v>2046.25</v>
      </c>
      <c r="L205" s="19">
        <f t="shared" si="0"/>
        <v>470697.75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151083.28</v>
      </c>
      <c r="G207" s="18">
        <v>75959.62</v>
      </c>
      <c r="H207" s="18">
        <v>176581.58</v>
      </c>
      <c r="I207" s="18">
        <v>96211.47</v>
      </c>
      <c r="J207" s="18">
        <v>29417.34</v>
      </c>
      <c r="K207" s="18">
        <v>0</v>
      </c>
      <c r="L207" s="19">
        <f t="shared" si="0"/>
        <v>529253.28999999992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302251.15999999997</v>
      </c>
      <c r="I208" s="18">
        <v>0</v>
      </c>
      <c r="J208" s="18"/>
      <c r="K208" s="18"/>
      <c r="L208" s="19">
        <f t="shared" si="0"/>
        <v>302251.15999999997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3200375.5199999996</v>
      </c>
      <c r="G211" s="41">
        <f t="shared" si="1"/>
        <v>1609041.81</v>
      </c>
      <c r="H211" s="41">
        <f t="shared" si="1"/>
        <v>1613025.6199999999</v>
      </c>
      <c r="I211" s="41">
        <f t="shared" si="1"/>
        <v>170260.25</v>
      </c>
      <c r="J211" s="41">
        <f t="shared" si="1"/>
        <v>75002.41</v>
      </c>
      <c r="K211" s="41">
        <f t="shared" si="1"/>
        <v>9854.58</v>
      </c>
      <c r="L211" s="41">
        <f t="shared" si="1"/>
        <v>6677560.1899999995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1664795.72</v>
      </c>
      <c r="I233" s="18"/>
      <c r="J233" s="18"/>
      <c r="K233" s="18"/>
      <c r="L233" s="19">
        <f>SUM(F233:K233)</f>
        <v>1664795.72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448919.23</v>
      </c>
      <c r="I234" s="18"/>
      <c r="J234" s="18"/>
      <c r="K234" s="18"/>
      <c r="L234" s="19">
        <f>SUM(F234:K234)</f>
        <v>448919.23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66646.89</v>
      </c>
      <c r="I238" s="18"/>
      <c r="J238" s="18"/>
      <c r="K238" s="18"/>
      <c r="L238" s="19">
        <f t="shared" ref="L238:L244" si="4">SUM(F238:K238)</f>
        <v>66646.89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50369.97</v>
      </c>
      <c r="I244" s="18"/>
      <c r="J244" s="18"/>
      <c r="K244" s="18"/>
      <c r="L244" s="19">
        <f t="shared" si="4"/>
        <v>50369.97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2230731.8100000005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2230731.8100000005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9780</v>
      </c>
      <c r="I255" s="18"/>
      <c r="J255" s="18"/>
      <c r="K255" s="18"/>
      <c r="L255" s="19">
        <f t="shared" si="6"/>
        <v>9780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9780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9780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3200375.5199999996</v>
      </c>
      <c r="G257" s="41">
        <f t="shared" si="8"/>
        <v>1609041.81</v>
      </c>
      <c r="H257" s="41">
        <f t="shared" si="8"/>
        <v>3853537.4300000006</v>
      </c>
      <c r="I257" s="41">
        <f t="shared" si="8"/>
        <v>170260.25</v>
      </c>
      <c r="J257" s="41">
        <f t="shared" si="8"/>
        <v>75002.41</v>
      </c>
      <c r="K257" s="41">
        <f t="shared" si="8"/>
        <v>9854.58</v>
      </c>
      <c r="L257" s="41">
        <f t="shared" si="8"/>
        <v>8918072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7922.61</v>
      </c>
      <c r="L263" s="19">
        <f>SUM(F263:K263)</f>
        <v>7922.61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39669.5</v>
      </c>
      <c r="L268" s="19">
        <f t="shared" si="9"/>
        <v>39669.5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47592.11</v>
      </c>
      <c r="L270" s="41">
        <f t="shared" si="9"/>
        <v>47592.11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3200375.5199999996</v>
      </c>
      <c r="G271" s="42">
        <f t="shared" si="11"/>
        <v>1609041.81</v>
      </c>
      <c r="H271" s="42">
        <f t="shared" si="11"/>
        <v>3853537.4300000006</v>
      </c>
      <c r="I271" s="42">
        <f t="shared" si="11"/>
        <v>170260.25</v>
      </c>
      <c r="J271" s="42">
        <f t="shared" si="11"/>
        <v>75002.41</v>
      </c>
      <c r="K271" s="42">
        <f t="shared" si="11"/>
        <v>57446.69</v>
      </c>
      <c r="L271" s="42">
        <f t="shared" si="11"/>
        <v>8965664.1099999994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120487.78</v>
      </c>
      <c r="G276" s="18">
        <v>10363.94</v>
      </c>
      <c r="H276" s="18">
        <v>0</v>
      </c>
      <c r="I276" s="18">
        <v>5482.09</v>
      </c>
      <c r="J276" s="18">
        <v>2429.65</v>
      </c>
      <c r="K276" s="18"/>
      <c r="L276" s="19">
        <f>SUM(F276:K276)</f>
        <v>138763.46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4067.5</v>
      </c>
      <c r="G281" s="18">
        <v>338.06</v>
      </c>
      <c r="H281" s="18">
        <v>0</v>
      </c>
      <c r="I281" s="18">
        <v>106.53</v>
      </c>
      <c r="J281" s="18"/>
      <c r="K281" s="18"/>
      <c r="L281" s="19">
        <f t="shared" ref="L281:L287" si="12">SUM(F281:K281)</f>
        <v>4512.09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4364.84</v>
      </c>
      <c r="G282" s="18">
        <v>364.58</v>
      </c>
      <c r="H282" s="18">
        <v>66402.05</v>
      </c>
      <c r="I282" s="18">
        <v>4062.89</v>
      </c>
      <c r="J282" s="18">
        <v>0</v>
      </c>
      <c r="K282" s="18"/>
      <c r="L282" s="19">
        <f t="shared" si="12"/>
        <v>75194.36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4150</v>
      </c>
      <c r="I283" s="18"/>
      <c r="J283" s="18"/>
      <c r="K283" s="18">
        <v>3475.24</v>
      </c>
      <c r="L283" s="19">
        <f t="shared" si="12"/>
        <v>7625.24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/>
      <c r="I286" s="18">
        <v>0</v>
      </c>
      <c r="J286" s="18">
        <v>1688</v>
      </c>
      <c r="K286" s="18"/>
      <c r="L286" s="19">
        <f t="shared" si="12"/>
        <v>1688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128920.12</v>
      </c>
      <c r="G290" s="42">
        <f t="shared" si="13"/>
        <v>11066.58</v>
      </c>
      <c r="H290" s="42">
        <f t="shared" si="13"/>
        <v>70552.05</v>
      </c>
      <c r="I290" s="42">
        <f t="shared" si="13"/>
        <v>9651.51</v>
      </c>
      <c r="J290" s="42">
        <f t="shared" si="13"/>
        <v>4117.6499999999996</v>
      </c>
      <c r="K290" s="42">
        <f t="shared" si="13"/>
        <v>3475.24</v>
      </c>
      <c r="L290" s="41">
        <f t="shared" si="13"/>
        <v>227783.14999999997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128920.12</v>
      </c>
      <c r="G338" s="41">
        <f t="shared" si="20"/>
        <v>11066.58</v>
      </c>
      <c r="H338" s="41">
        <f t="shared" si="20"/>
        <v>70552.05</v>
      </c>
      <c r="I338" s="41">
        <f t="shared" si="20"/>
        <v>9651.51</v>
      </c>
      <c r="J338" s="41">
        <f t="shared" si="20"/>
        <v>4117.6499999999996</v>
      </c>
      <c r="K338" s="41">
        <f t="shared" si="20"/>
        <v>3475.24</v>
      </c>
      <c r="L338" s="41">
        <f t="shared" si="20"/>
        <v>227783.14999999997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128920.12</v>
      </c>
      <c r="G352" s="41">
        <f>G338</f>
        <v>11066.58</v>
      </c>
      <c r="H352" s="41">
        <f>H338</f>
        <v>70552.05</v>
      </c>
      <c r="I352" s="41">
        <f>I338</f>
        <v>9651.51</v>
      </c>
      <c r="J352" s="41">
        <f>J338</f>
        <v>4117.6499999999996</v>
      </c>
      <c r="K352" s="47">
        <f>K338+K351</f>
        <v>3475.24</v>
      </c>
      <c r="L352" s="41">
        <f>L338+L351</f>
        <v>227783.14999999997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69942.73</v>
      </c>
      <c r="G358" s="18">
        <v>9196.59</v>
      </c>
      <c r="H358" s="18">
        <v>4494.1000000000004</v>
      </c>
      <c r="I358" s="18">
        <v>87371.09</v>
      </c>
      <c r="J358" s="18">
        <v>0</v>
      </c>
      <c r="K358" s="18">
        <v>1132</v>
      </c>
      <c r="L358" s="13">
        <f>SUM(F358:K358)</f>
        <v>172136.51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69942.73</v>
      </c>
      <c r="G362" s="47">
        <f t="shared" si="22"/>
        <v>9196.59</v>
      </c>
      <c r="H362" s="47">
        <f t="shared" si="22"/>
        <v>4494.1000000000004</v>
      </c>
      <c r="I362" s="47">
        <f t="shared" si="22"/>
        <v>87371.09</v>
      </c>
      <c r="J362" s="47">
        <f t="shared" si="22"/>
        <v>0</v>
      </c>
      <c r="K362" s="47">
        <f t="shared" si="22"/>
        <v>1132</v>
      </c>
      <c r="L362" s="47">
        <f t="shared" si="22"/>
        <v>172136.51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79702.009999999995</v>
      </c>
      <c r="G367" s="18"/>
      <c r="H367" s="18"/>
      <c r="I367" s="56">
        <f>SUM(F367:H367)</f>
        <v>79702.009999999995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7669.08</v>
      </c>
      <c r="G368" s="63"/>
      <c r="H368" s="63"/>
      <c r="I368" s="56">
        <f>SUM(F368:H368)</f>
        <v>7669.08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87371.09</v>
      </c>
      <c r="G369" s="47">
        <f>SUM(G367:G368)</f>
        <v>0</v>
      </c>
      <c r="H369" s="47">
        <f>SUM(H367:H368)</f>
        <v>0</v>
      </c>
      <c r="I369" s="47">
        <f>SUM(I367:I368)</f>
        <v>87371.09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226.64</v>
      </c>
      <c r="I389" s="18"/>
      <c r="J389" s="24" t="s">
        <v>289</v>
      </c>
      <c r="K389" s="24" t="s">
        <v>289</v>
      </c>
      <c r="L389" s="56">
        <f t="shared" si="25"/>
        <v>226.64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226.64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226.64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3846.66</v>
      </c>
      <c r="I396" s="18"/>
      <c r="J396" s="24" t="s">
        <v>289</v>
      </c>
      <c r="K396" s="24" t="s">
        <v>289</v>
      </c>
      <c r="L396" s="56">
        <f t="shared" si="26"/>
        <v>3846.66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13664.65</v>
      </c>
      <c r="I397" s="18"/>
      <c r="J397" s="24" t="s">
        <v>289</v>
      </c>
      <c r="K397" s="24" t="s">
        <v>289</v>
      </c>
      <c r="L397" s="56">
        <f t="shared" si="26"/>
        <v>13664.65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4251.59</v>
      </c>
      <c r="I398" s="18"/>
      <c r="J398" s="24" t="s">
        <v>289</v>
      </c>
      <c r="K398" s="24" t="s">
        <v>289</v>
      </c>
      <c r="L398" s="56">
        <f t="shared" si="26"/>
        <v>4251.59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292.92</v>
      </c>
      <c r="I399" s="18"/>
      <c r="J399" s="24" t="s">
        <v>289</v>
      </c>
      <c r="K399" s="24" t="s">
        <v>289</v>
      </c>
      <c r="L399" s="56">
        <f t="shared" si="26"/>
        <v>292.92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22055.819999999996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22055.819999999996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22282.459999999995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22282.459999999995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>
        <v>59169.75</v>
      </c>
      <c r="H422" s="18"/>
      <c r="I422" s="18"/>
      <c r="J422" s="18"/>
      <c r="K422" s="18"/>
      <c r="L422" s="56">
        <f t="shared" si="29"/>
        <v>59169.75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59169.75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59169.75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59169.75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59169.75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5700.89</v>
      </c>
      <c r="G439" s="18">
        <v>74947.45</v>
      </c>
      <c r="H439" s="18"/>
      <c r="I439" s="56">
        <f t="shared" ref="I439:I445" si="33">SUM(F439:H439)</f>
        <v>80648.34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5700.89</v>
      </c>
      <c r="G446" s="13">
        <f>SUM(G439:G445)</f>
        <v>74947.45</v>
      </c>
      <c r="H446" s="13">
        <f>SUM(H439:H445)</f>
        <v>0</v>
      </c>
      <c r="I446" s="13">
        <f>SUM(I439:I445)</f>
        <v>80648.34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5700.89</v>
      </c>
      <c r="G459" s="18">
        <v>74947.45</v>
      </c>
      <c r="H459" s="18"/>
      <c r="I459" s="56">
        <f t="shared" si="34"/>
        <v>80648.34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5700.89</v>
      </c>
      <c r="G460" s="83">
        <f>SUM(G454:G459)</f>
        <v>74947.45</v>
      </c>
      <c r="H460" s="83">
        <f>SUM(H454:H459)</f>
        <v>0</v>
      </c>
      <c r="I460" s="83">
        <f>SUM(I454:I459)</f>
        <v>80648.34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5700.89</v>
      </c>
      <c r="G461" s="42">
        <f>G452+G460</f>
        <v>74947.45</v>
      </c>
      <c r="H461" s="42">
        <f>H452+H460</f>
        <v>0</v>
      </c>
      <c r="I461" s="42">
        <f>I452+I460</f>
        <v>80648.34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436085.65</v>
      </c>
      <c r="G465" s="18">
        <v>10000</v>
      </c>
      <c r="H465" s="18">
        <v>2780.29</v>
      </c>
      <c r="I465" s="18"/>
      <c r="J465" s="18">
        <v>117535.63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8919553.3300000001</v>
      </c>
      <c r="G468" s="18">
        <v>172136.51</v>
      </c>
      <c r="H468" s="18">
        <v>226095.15</v>
      </c>
      <c r="I468" s="18"/>
      <c r="J468" s="18">
        <v>22282.46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8919553.3300000001</v>
      </c>
      <c r="G470" s="53">
        <f>SUM(G468:G469)</f>
        <v>172136.51</v>
      </c>
      <c r="H470" s="53">
        <f>SUM(H468:H469)</f>
        <v>226095.15</v>
      </c>
      <c r="I470" s="53">
        <f>SUM(I468:I469)</f>
        <v>0</v>
      </c>
      <c r="J470" s="53">
        <f>SUM(J468:J469)</f>
        <v>22282.46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8965664.1099999994</v>
      </c>
      <c r="G472" s="18">
        <v>172136.51</v>
      </c>
      <c r="H472" s="18">
        <v>227783.15</v>
      </c>
      <c r="I472" s="18"/>
      <c r="J472" s="18">
        <v>59169.75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8965664.1099999994</v>
      </c>
      <c r="G474" s="53">
        <f>SUM(G472:G473)</f>
        <v>172136.51</v>
      </c>
      <c r="H474" s="53">
        <f>SUM(H472:H473)</f>
        <v>227783.15</v>
      </c>
      <c r="I474" s="53">
        <f>SUM(I472:I473)</f>
        <v>0</v>
      </c>
      <c r="J474" s="53">
        <f>SUM(J472:J473)</f>
        <v>59169.75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389974.87000000104</v>
      </c>
      <c r="G476" s="53">
        <f>(G465+G470)- G474</f>
        <v>10000</v>
      </c>
      <c r="H476" s="53">
        <f>(H465+H470)- H474</f>
        <v>1092.2900000000081</v>
      </c>
      <c r="I476" s="53">
        <f>(I465+I470)- I474</f>
        <v>0</v>
      </c>
      <c r="J476" s="53">
        <f>(J465+J470)- J474</f>
        <v>80648.34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16690.59</v>
      </c>
      <c r="G507" s="144">
        <v>17391.490000000002</v>
      </c>
      <c r="H507" s="144"/>
      <c r="I507" s="144">
        <v>34082.080000000002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802221.74</v>
      </c>
      <c r="G521" s="18">
        <v>403330.27</v>
      </c>
      <c r="H521" s="18">
        <v>617076.98</v>
      </c>
      <c r="I521" s="18">
        <v>9526.93</v>
      </c>
      <c r="J521" s="18">
        <v>6386.97</v>
      </c>
      <c r="K521" s="18">
        <v>970</v>
      </c>
      <c r="L521" s="88">
        <f>SUM(F521:K521)</f>
        <v>1839512.89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448919.23</v>
      </c>
      <c r="I523" s="18"/>
      <c r="J523" s="18"/>
      <c r="K523" s="18"/>
      <c r="L523" s="88">
        <f>SUM(F523:K523)</f>
        <v>448919.23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802221.74</v>
      </c>
      <c r="G524" s="108">
        <f t="shared" ref="G524:L524" si="36">SUM(G521:G523)</f>
        <v>403330.27</v>
      </c>
      <c r="H524" s="108">
        <f t="shared" si="36"/>
        <v>1065996.21</v>
      </c>
      <c r="I524" s="108">
        <f t="shared" si="36"/>
        <v>9526.93</v>
      </c>
      <c r="J524" s="108">
        <f t="shared" si="36"/>
        <v>6386.97</v>
      </c>
      <c r="K524" s="108">
        <f t="shared" si="36"/>
        <v>970</v>
      </c>
      <c r="L524" s="89">
        <f t="shared" si="36"/>
        <v>2288432.12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170501.94</v>
      </c>
      <c r="I526" s="18"/>
      <c r="J526" s="18"/>
      <c r="K526" s="18"/>
      <c r="L526" s="88">
        <f>SUM(F526:K526)</f>
        <v>170501.94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66646.89</v>
      </c>
      <c r="I528" s="18"/>
      <c r="J528" s="18"/>
      <c r="K528" s="18"/>
      <c r="L528" s="88">
        <f>SUM(F528:K528)</f>
        <v>66646.89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237148.83000000002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237148.83000000002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9188.35</v>
      </c>
      <c r="G531" s="18">
        <v>4931.7700000000004</v>
      </c>
      <c r="H531" s="18"/>
      <c r="I531" s="18"/>
      <c r="J531" s="18"/>
      <c r="K531" s="18"/>
      <c r="L531" s="88">
        <f>SUM(F531:K531)</f>
        <v>14120.12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2297.09</v>
      </c>
      <c r="G533" s="18">
        <v>1232.94</v>
      </c>
      <c r="H533" s="18"/>
      <c r="I533" s="18"/>
      <c r="J533" s="18"/>
      <c r="K533" s="18"/>
      <c r="L533" s="88">
        <f>SUM(F533:K533)</f>
        <v>3530.03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11485.44</v>
      </c>
      <c r="G534" s="89">
        <f t="shared" ref="G534:L534" si="38">SUM(G531:G533)</f>
        <v>6164.7100000000009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17650.150000000001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138308.56</v>
      </c>
      <c r="I541" s="18"/>
      <c r="J541" s="18"/>
      <c r="K541" s="18"/>
      <c r="L541" s="88">
        <f>SUM(F541:K541)</f>
        <v>138308.56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50369.97</v>
      </c>
      <c r="I543" s="18"/>
      <c r="J543" s="18"/>
      <c r="K543" s="18"/>
      <c r="L543" s="88">
        <f>SUM(F543:K543)</f>
        <v>50369.97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188678.53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188678.53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813707.17999999993</v>
      </c>
      <c r="G545" s="89">
        <f t="shared" ref="G545:L545" si="41">G524+G529+G534+G539+G544</f>
        <v>409494.98000000004</v>
      </c>
      <c r="H545" s="89">
        <f t="shared" si="41"/>
        <v>1491823.57</v>
      </c>
      <c r="I545" s="89">
        <f t="shared" si="41"/>
        <v>9526.93</v>
      </c>
      <c r="J545" s="89">
        <f t="shared" si="41"/>
        <v>6386.97</v>
      </c>
      <c r="K545" s="89">
        <f t="shared" si="41"/>
        <v>970</v>
      </c>
      <c r="L545" s="89">
        <f t="shared" si="41"/>
        <v>2731909.63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1839512.89</v>
      </c>
      <c r="G549" s="87">
        <f>L526</f>
        <v>170501.94</v>
      </c>
      <c r="H549" s="87">
        <f>L531</f>
        <v>14120.12</v>
      </c>
      <c r="I549" s="87">
        <f>L536</f>
        <v>0</v>
      </c>
      <c r="J549" s="87">
        <f>L541</f>
        <v>138308.56</v>
      </c>
      <c r="K549" s="87">
        <f>SUM(F549:J549)</f>
        <v>2162443.5099999998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448919.23</v>
      </c>
      <c r="G551" s="87">
        <f>L528</f>
        <v>66646.89</v>
      </c>
      <c r="H551" s="87">
        <f>L533</f>
        <v>3530.03</v>
      </c>
      <c r="I551" s="87">
        <f>L538</f>
        <v>0</v>
      </c>
      <c r="J551" s="87">
        <f>L543</f>
        <v>50369.97</v>
      </c>
      <c r="K551" s="87">
        <f>SUM(F551:J551)</f>
        <v>569466.12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2288432.12</v>
      </c>
      <c r="G552" s="89">
        <f t="shared" si="42"/>
        <v>237148.83000000002</v>
      </c>
      <c r="H552" s="89">
        <f t="shared" si="42"/>
        <v>17650.150000000001</v>
      </c>
      <c r="I552" s="89">
        <f t="shared" si="42"/>
        <v>0</v>
      </c>
      <c r="J552" s="89">
        <f t="shared" si="42"/>
        <v>188678.53</v>
      </c>
      <c r="K552" s="89">
        <f t="shared" si="42"/>
        <v>2731909.63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>
        <v>3316.72</v>
      </c>
      <c r="I562" s="18">
        <v>535.16</v>
      </c>
      <c r="J562" s="18"/>
      <c r="K562" s="18"/>
      <c r="L562" s="88">
        <f>SUM(F562:K562)</f>
        <v>3851.8799999999997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3316.72</v>
      </c>
      <c r="I565" s="89">
        <f t="shared" si="44"/>
        <v>535.16</v>
      </c>
      <c r="J565" s="89">
        <f t="shared" si="44"/>
        <v>0</v>
      </c>
      <c r="K565" s="89">
        <f t="shared" si="44"/>
        <v>0</v>
      </c>
      <c r="L565" s="89">
        <f t="shared" si="44"/>
        <v>3851.8799999999997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3316.72</v>
      </c>
      <c r="I571" s="89">
        <f t="shared" si="46"/>
        <v>535.16</v>
      </c>
      <c r="J571" s="89">
        <f t="shared" si="46"/>
        <v>0</v>
      </c>
      <c r="K571" s="89">
        <f t="shared" si="46"/>
        <v>0</v>
      </c>
      <c r="L571" s="89">
        <f t="shared" si="46"/>
        <v>3851.8799999999997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1664795.72</v>
      </c>
      <c r="I575" s="87">
        <f>SUM(F575:H575)</f>
        <v>1664795.72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256669.61</v>
      </c>
      <c r="G579" s="18"/>
      <c r="H579" s="18">
        <v>125703.3</v>
      </c>
      <c r="I579" s="87">
        <f t="shared" si="47"/>
        <v>382372.91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238346.47</v>
      </c>
      <c r="I581" s="87">
        <f t="shared" si="47"/>
        <v>238346.47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17503.96</v>
      </c>
      <c r="I583" s="87">
        <f t="shared" si="47"/>
        <v>17503.96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151703.97</v>
      </c>
      <c r="I591" s="18"/>
      <c r="J591" s="18"/>
      <c r="K591" s="104">
        <f t="shared" ref="K591:K597" si="48">SUM(H591:J591)</f>
        <v>151703.97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138308.56</v>
      </c>
      <c r="I592" s="18"/>
      <c r="J592" s="18">
        <v>50369.97</v>
      </c>
      <c r="K592" s="104">
        <f t="shared" si="48"/>
        <v>188678.53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3012.41</v>
      </c>
      <c r="I594" s="18"/>
      <c r="J594" s="18"/>
      <c r="K594" s="104">
        <f t="shared" si="48"/>
        <v>3012.41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9226.2199999999993</v>
      </c>
      <c r="I595" s="18"/>
      <c r="J595" s="18"/>
      <c r="K595" s="104">
        <f t="shared" si="48"/>
        <v>9226.2199999999993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302251.15999999997</v>
      </c>
      <c r="I598" s="108">
        <f>SUM(I591:I597)</f>
        <v>0</v>
      </c>
      <c r="J598" s="108">
        <f>SUM(J591:J597)</f>
        <v>50369.97</v>
      </c>
      <c r="K598" s="108">
        <f>SUM(K591:K597)</f>
        <v>352621.12999999995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79120.06</v>
      </c>
      <c r="I604" s="18"/>
      <c r="J604" s="18"/>
      <c r="K604" s="104">
        <f>SUM(H604:J604)</f>
        <v>79120.06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79120.06</v>
      </c>
      <c r="I605" s="108">
        <f>SUM(I602:I604)</f>
        <v>0</v>
      </c>
      <c r="J605" s="108">
        <f>SUM(J602:J604)</f>
        <v>0</v>
      </c>
      <c r="K605" s="108">
        <f>SUM(K602:K604)</f>
        <v>79120.06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676805</v>
      </c>
      <c r="H617" s="109">
        <f>SUM(F52)</f>
        <v>676805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12936.36</v>
      </c>
      <c r="H618" s="109">
        <f>SUM(G52)</f>
        <v>12936.36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53701.72</v>
      </c>
      <c r="H619" s="109">
        <f>SUM(H52)</f>
        <v>53701.719999999994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80648.34</v>
      </c>
      <c r="H621" s="109">
        <f>SUM(J52)</f>
        <v>80648.34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389974.87</v>
      </c>
      <c r="H622" s="109">
        <f>F476</f>
        <v>389974.87000000104</v>
      </c>
      <c r="I622" s="121" t="s">
        <v>101</v>
      </c>
      <c r="J622" s="109">
        <f t="shared" ref="J622:J655" si="50">G622-H622</f>
        <v>-1.0477378964424133E-9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1092.29</v>
      </c>
      <c r="H624" s="109">
        <f>H476</f>
        <v>1092.2900000000081</v>
      </c>
      <c r="I624" s="121" t="s">
        <v>103</v>
      </c>
      <c r="J624" s="109">
        <f t="shared" si="50"/>
        <v>-8.1854523159563541E-12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80648.34</v>
      </c>
      <c r="H626" s="109">
        <f>J476</f>
        <v>80648.34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8919553.3300000001</v>
      </c>
      <c r="H627" s="104">
        <f>SUM(F468)</f>
        <v>8919553.3300000001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172136.50999999998</v>
      </c>
      <c r="H628" s="104">
        <f>SUM(G468)</f>
        <v>172136.51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226095.15000000002</v>
      </c>
      <c r="H629" s="104">
        <f>SUM(H468)</f>
        <v>226095.15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22282.46</v>
      </c>
      <c r="H631" s="104">
        <f>SUM(J468)</f>
        <v>22282.46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8965664.1099999994</v>
      </c>
      <c r="H632" s="104">
        <f>SUM(F472)</f>
        <v>8965664.1099999994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227783.14999999997</v>
      </c>
      <c r="H633" s="104">
        <f>SUM(H472)</f>
        <v>227783.15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87371.09</v>
      </c>
      <c r="H634" s="104">
        <f>I369</f>
        <v>87371.09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172136.51</v>
      </c>
      <c r="H635" s="104">
        <f>SUM(G472)</f>
        <v>172136.51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22282.459999999995</v>
      </c>
      <c r="H637" s="164">
        <f>SUM(J468)</f>
        <v>22282.46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59169.75</v>
      </c>
      <c r="H638" s="164">
        <f>SUM(J472)</f>
        <v>59169.75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5700.89</v>
      </c>
      <c r="H639" s="104">
        <f>SUM(F461)</f>
        <v>5700.89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74947.45</v>
      </c>
      <c r="H640" s="104">
        <f>SUM(G461)</f>
        <v>74947.45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80648.34</v>
      </c>
      <c r="H642" s="104">
        <f>SUM(I461)</f>
        <v>80648.34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22282.46</v>
      </c>
      <c r="H644" s="104">
        <f>H408</f>
        <v>22282.459999999995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22282.46</v>
      </c>
      <c r="H646" s="104">
        <f>L408</f>
        <v>22282.459999999995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352621.12999999995</v>
      </c>
      <c r="H647" s="104">
        <f>L208+L226+L244</f>
        <v>352621.13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79120.06</v>
      </c>
      <c r="H648" s="104">
        <f>(J257+J338)-(J255+J336)</f>
        <v>79120.06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302251.15999999997</v>
      </c>
      <c r="H649" s="104">
        <f>H598</f>
        <v>302251.15999999997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50369.97</v>
      </c>
      <c r="H651" s="104">
        <f>J598</f>
        <v>50369.97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7922.61</v>
      </c>
      <c r="H652" s="104">
        <f>K263+K345</f>
        <v>7922.61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7077479.8499999996</v>
      </c>
      <c r="G660" s="19">
        <f>(L229+L309+L359)</f>
        <v>0</v>
      </c>
      <c r="H660" s="19">
        <f>(L247+L328+L360)</f>
        <v>2230731.8100000005</v>
      </c>
      <c r="I660" s="19">
        <f>SUM(F660:H660)</f>
        <v>9308211.6600000001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51621.31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51621.31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302251.15999999997</v>
      </c>
      <c r="G662" s="19">
        <f>(L226+L306)-(J226+J306)</f>
        <v>0</v>
      </c>
      <c r="H662" s="19">
        <f>(L244+L325)-(J244+J325)</f>
        <v>50369.97</v>
      </c>
      <c r="I662" s="19">
        <f>SUM(F662:H662)</f>
        <v>352621.13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335789.67</v>
      </c>
      <c r="G663" s="199">
        <f>SUM(G575:G587)+SUM(I602:I604)+L612</f>
        <v>0</v>
      </c>
      <c r="H663" s="199">
        <f>SUM(H575:H587)+SUM(J602:J604)+L613</f>
        <v>2046349.45</v>
      </c>
      <c r="I663" s="19">
        <f>SUM(F663:H663)</f>
        <v>2382139.12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6387817.71</v>
      </c>
      <c r="G664" s="19">
        <f>G660-SUM(G661:G663)</f>
        <v>0</v>
      </c>
      <c r="H664" s="19">
        <f>H660-SUM(H661:H663)</f>
        <v>134012.3900000006</v>
      </c>
      <c r="I664" s="19">
        <f>I660-SUM(I661:I663)</f>
        <v>6521830.0999999996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347.33</v>
      </c>
      <c r="G665" s="248"/>
      <c r="H665" s="248"/>
      <c r="I665" s="19">
        <f>SUM(F665:H665)</f>
        <v>347.33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18391.21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18777.04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-134012.39000000001</v>
      </c>
      <c r="I669" s="19">
        <f>SUM(F669:H669)</f>
        <v>-134012.39000000001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18391.21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18391.21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A14" sqref="A1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Allenstown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1717110.23</v>
      </c>
      <c r="C9" s="229">
        <f>'DOE25'!G197+'DOE25'!G215+'DOE25'!G233+'DOE25'!G276+'DOE25'!G295+'DOE25'!G314</f>
        <v>813092.32</v>
      </c>
    </row>
    <row r="10" spans="1:3" x14ac:dyDescent="0.2">
      <c r="A10" t="s">
        <v>779</v>
      </c>
      <c r="B10" s="240">
        <v>1682058.48</v>
      </c>
      <c r="C10" s="240">
        <v>796494.49</v>
      </c>
    </row>
    <row r="11" spans="1:3" x14ac:dyDescent="0.2">
      <c r="A11" t="s">
        <v>780</v>
      </c>
      <c r="B11" s="240">
        <v>2200.5500000000002</v>
      </c>
      <c r="C11" s="240">
        <v>1042.01</v>
      </c>
    </row>
    <row r="12" spans="1:3" x14ac:dyDescent="0.2">
      <c r="A12" t="s">
        <v>781</v>
      </c>
      <c r="B12" s="240">
        <v>32851.199999999997</v>
      </c>
      <c r="C12" s="240">
        <v>15555.82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1717110.23</v>
      </c>
      <c r="C13" s="231">
        <f>SUM(C10:C12)</f>
        <v>813092.32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802221.74</v>
      </c>
      <c r="C18" s="229">
        <f>'DOE25'!G198+'DOE25'!G216+'DOE25'!G234+'DOE25'!G277+'DOE25'!G296+'DOE25'!G315</f>
        <v>403330.27</v>
      </c>
    </row>
    <row r="19" spans="1:3" x14ac:dyDescent="0.2">
      <c r="A19" t="s">
        <v>779</v>
      </c>
      <c r="B19" s="240">
        <v>423681.72</v>
      </c>
      <c r="C19" s="240">
        <v>213013</v>
      </c>
    </row>
    <row r="20" spans="1:3" x14ac:dyDescent="0.2">
      <c r="A20" t="s">
        <v>780</v>
      </c>
      <c r="B20" s="240">
        <v>266732.71000000002</v>
      </c>
      <c r="C20" s="240">
        <v>134104.29</v>
      </c>
    </row>
    <row r="21" spans="1:3" x14ac:dyDescent="0.2">
      <c r="A21" t="s">
        <v>781</v>
      </c>
      <c r="B21" s="240">
        <v>111807.31</v>
      </c>
      <c r="C21" s="240">
        <v>56212.98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802221.74</v>
      </c>
      <c r="C22" s="231">
        <f>SUM(C19:C21)</f>
        <v>403330.27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18700</v>
      </c>
      <c r="C36" s="235">
        <f>'DOE25'!G200+'DOE25'!G218+'DOE25'!G236+'DOE25'!G279+'DOE25'!G298+'DOE25'!G317</f>
        <v>9401.73</v>
      </c>
    </row>
    <row r="37" spans="1:3" x14ac:dyDescent="0.2">
      <c r="A37" t="s">
        <v>779</v>
      </c>
      <c r="B37" s="240">
        <v>18700</v>
      </c>
      <c r="C37" s="240">
        <v>9401.73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18700</v>
      </c>
      <c r="C40" s="231">
        <f>SUM(C37:C39)</f>
        <v>9401.73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Allenstown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6476541.71</v>
      </c>
      <c r="D5" s="20">
        <f>SUM('DOE25'!L197:L200)+SUM('DOE25'!L215:L218)+SUM('DOE25'!L233:L236)-F5-G5</f>
        <v>6437871.5899999999</v>
      </c>
      <c r="E5" s="243"/>
      <c r="F5" s="255">
        <f>SUM('DOE25'!J197:J200)+SUM('DOE25'!J215:J218)+SUM('DOE25'!J233:J236)</f>
        <v>37090.120000000003</v>
      </c>
      <c r="G5" s="53">
        <f>SUM('DOE25'!K197:K200)+SUM('DOE25'!K215:K218)+SUM('DOE25'!K233:K236)</f>
        <v>1580</v>
      </c>
      <c r="H5" s="259"/>
    </row>
    <row r="6" spans="1:9" x14ac:dyDescent="0.2">
      <c r="A6" s="32">
        <v>2100</v>
      </c>
      <c r="B6" t="s">
        <v>801</v>
      </c>
      <c r="C6" s="245">
        <f t="shared" si="0"/>
        <v>754245.55999999994</v>
      </c>
      <c r="D6" s="20">
        <f>'DOE25'!L202+'DOE25'!L220+'DOE25'!L238-F6-G6</f>
        <v>746253.61</v>
      </c>
      <c r="E6" s="243"/>
      <c r="F6" s="255">
        <f>'DOE25'!J202+'DOE25'!J220+'DOE25'!J238</f>
        <v>7399.95</v>
      </c>
      <c r="G6" s="53">
        <f>'DOE25'!K202+'DOE25'!K220+'DOE25'!K238</f>
        <v>592</v>
      </c>
      <c r="H6" s="259"/>
    </row>
    <row r="7" spans="1:9" x14ac:dyDescent="0.2">
      <c r="A7" s="32">
        <v>2200</v>
      </c>
      <c r="B7" t="s">
        <v>834</v>
      </c>
      <c r="C7" s="245">
        <f t="shared" si="0"/>
        <v>99403.21</v>
      </c>
      <c r="D7" s="20">
        <f>'DOE25'!L203+'DOE25'!L221+'DOE25'!L239-F7-G7</f>
        <v>99403.21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159894.37</v>
      </c>
      <c r="D8" s="243"/>
      <c r="E8" s="20">
        <f>'DOE25'!L204+'DOE25'!L222+'DOE25'!L240-F8-G8-D9-D11</f>
        <v>154258.04</v>
      </c>
      <c r="F8" s="255">
        <f>'DOE25'!J204+'DOE25'!J222+'DOE25'!J240</f>
        <v>0</v>
      </c>
      <c r="G8" s="53">
        <f>'DOE25'!K204+'DOE25'!K222+'DOE25'!K240</f>
        <v>5636.33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12898.52</v>
      </c>
      <c r="D9" s="244">
        <v>12898.52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7392</v>
      </c>
      <c r="D10" s="243"/>
      <c r="E10" s="244">
        <v>7392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52736.46</v>
      </c>
      <c r="D11" s="244">
        <v>52736.46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470697.75</v>
      </c>
      <c r="D12" s="20">
        <f>'DOE25'!L205+'DOE25'!L223+'DOE25'!L241-F12-G12</f>
        <v>467556.5</v>
      </c>
      <c r="E12" s="243"/>
      <c r="F12" s="255">
        <f>'DOE25'!J205+'DOE25'!J223+'DOE25'!J241</f>
        <v>1095</v>
      </c>
      <c r="G12" s="53">
        <f>'DOE25'!K205+'DOE25'!K223+'DOE25'!K241</f>
        <v>2046.25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529253.28999999992</v>
      </c>
      <c r="D14" s="20">
        <f>'DOE25'!L207+'DOE25'!L225+'DOE25'!L243-F14-G14</f>
        <v>499835.9499999999</v>
      </c>
      <c r="E14" s="243"/>
      <c r="F14" s="255">
        <f>'DOE25'!J207+'DOE25'!J225+'DOE25'!J243</f>
        <v>29417.34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352621.13</v>
      </c>
      <c r="D15" s="20">
        <f>'DOE25'!L208+'DOE25'!L226+'DOE25'!L244-F15-G15</f>
        <v>352621.13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9780</v>
      </c>
      <c r="D22" s="243"/>
      <c r="E22" s="243"/>
      <c r="F22" s="255">
        <f>'DOE25'!L255+'DOE25'!L336</f>
        <v>9780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92434.500000000015</v>
      </c>
      <c r="D29" s="20">
        <f>'DOE25'!L358+'DOE25'!L359+'DOE25'!L360-'DOE25'!I367-F29-G29</f>
        <v>91302.500000000015</v>
      </c>
      <c r="E29" s="243"/>
      <c r="F29" s="255">
        <f>'DOE25'!J358+'DOE25'!J359+'DOE25'!J360</f>
        <v>0</v>
      </c>
      <c r="G29" s="53">
        <f>'DOE25'!K358+'DOE25'!K359+'DOE25'!K360</f>
        <v>1132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227783.14999999997</v>
      </c>
      <c r="D31" s="20">
        <f>'DOE25'!L290+'DOE25'!L309+'DOE25'!L328+'DOE25'!L333+'DOE25'!L334+'DOE25'!L335-F31-G31</f>
        <v>220190.25999999998</v>
      </c>
      <c r="E31" s="243"/>
      <c r="F31" s="255">
        <f>'DOE25'!J290+'DOE25'!J309+'DOE25'!J328+'DOE25'!J333+'DOE25'!J334+'DOE25'!J335</f>
        <v>4117.6499999999996</v>
      </c>
      <c r="G31" s="53">
        <f>'DOE25'!K290+'DOE25'!K309+'DOE25'!K328+'DOE25'!K333+'DOE25'!K334+'DOE25'!K335</f>
        <v>3475.24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8980669.7300000004</v>
      </c>
      <c r="E33" s="246">
        <f>SUM(E5:E31)</f>
        <v>161650.04</v>
      </c>
      <c r="F33" s="246">
        <f>SUM(F5:F31)</f>
        <v>88900.06</v>
      </c>
      <c r="G33" s="246">
        <f>SUM(G5:G31)</f>
        <v>14461.82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161650.04</v>
      </c>
      <c r="E35" s="249"/>
    </row>
    <row r="36" spans="2:8" ht="12" thickTop="1" x14ac:dyDescent="0.2">
      <c r="B36" t="s">
        <v>815</v>
      </c>
      <c r="D36" s="20">
        <f>D33</f>
        <v>8980669.7300000004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594491.53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80648.34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44141.34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38172.129999999997</v>
      </c>
      <c r="D12" s="95">
        <f>'DOE25'!G13</f>
        <v>7837.88</v>
      </c>
      <c r="E12" s="95">
        <f>'DOE25'!H13</f>
        <v>52609.43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5098.4799999999996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1092.29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676805</v>
      </c>
      <c r="D18" s="41">
        <f>SUM(D8:D17)</f>
        <v>12936.36</v>
      </c>
      <c r="E18" s="41">
        <f>SUM(E8:E17)</f>
        <v>53701.72</v>
      </c>
      <c r="F18" s="41">
        <f>SUM(F8:F17)</f>
        <v>0</v>
      </c>
      <c r="G18" s="41">
        <f>SUM(G8:G17)</f>
        <v>80648.34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1538.68</v>
      </c>
      <c r="E21" s="95">
        <f>'DOE25'!H22</f>
        <v>43694.95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243170.92</v>
      </c>
      <c r="D22" s="95">
        <f>'DOE25'!G23</f>
        <v>1397.68</v>
      </c>
      <c r="E22" s="95">
        <f>'DOE25'!H23</f>
        <v>8914.48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9577.1299999999992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34082.080000000002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286830.13</v>
      </c>
      <c r="D31" s="41">
        <f>SUM(D21:D30)</f>
        <v>2936.36</v>
      </c>
      <c r="E31" s="41">
        <f>SUM(E21:E30)</f>
        <v>52609.429999999993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1092.29</v>
      </c>
      <c r="F47" s="95">
        <f>'DOE25'!I48</f>
        <v>0</v>
      </c>
      <c r="G47" s="95">
        <f>'DOE25'!J48</f>
        <v>80648.34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279974.87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389974.87</v>
      </c>
      <c r="D50" s="41">
        <f>SUM(D34:D49)</f>
        <v>10000</v>
      </c>
      <c r="E50" s="41">
        <f>SUM(E34:E49)</f>
        <v>1092.29</v>
      </c>
      <c r="F50" s="41">
        <f>SUM(F34:F49)</f>
        <v>0</v>
      </c>
      <c r="G50" s="41">
        <f>SUM(G34:G49)</f>
        <v>80648.34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676805</v>
      </c>
      <c r="D51" s="41">
        <f>D50+D31</f>
        <v>12936.36</v>
      </c>
      <c r="E51" s="41">
        <f>E50+E31</f>
        <v>53701.719999999994</v>
      </c>
      <c r="F51" s="41">
        <f>F50+F31</f>
        <v>0</v>
      </c>
      <c r="G51" s="41">
        <f>G50+G31</f>
        <v>80648.34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3971231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16296.44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22282.46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51621.31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33946.199999999997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50242.64</v>
      </c>
      <c r="D62" s="130">
        <f>SUM(D57:D61)</f>
        <v>51621.31</v>
      </c>
      <c r="E62" s="130">
        <f>SUM(E57:E61)</f>
        <v>0</v>
      </c>
      <c r="F62" s="130">
        <f>SUM(F57:F61)</f>
        <v>0</v>
      </c>
      <c r="G62" s="130">
        <f>SUM(G57:G61)</f>
        <v>22282.46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4021473.64</v>
      </c>
      <c r="D63" s="22">
        <f>D56+D62</f>
        <v>51621.31</v>
      </c>
      <c r="E63" s="22">
        <f>E56+E62</f>
        <v>0</v>
      </c>
      <c r="F63" s="22">
        <f>F56+F62</f>
        <v>0</v>
      </c>
      <c r="G63" s="22">
        <f>G56+G62</f>
        <v>22282.46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4061407.44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594195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9823.94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4665426.38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62862.97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2152.02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62862.97</v>
      </c>
      <c r="D78" s="130">
        <f>SUM(D72:D77)</f>
        <v>2152.02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4728289.3499999996</v>
      </c>
      <c r="D81" s="130">
        <f>SUM(D79:D80)+D78+D70</f>
        <v>2152.02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140805.14000000001</v>
      </c>
      <c r="D88" s="95">
        <f>SUM('DOE25'!G153:G161)</f>
        <v>110440.57</v>
      </c>
      <c r="E88" s="95">
        <f>SUM('DOE25'!H153:H161)</f>
        <v>226095.15000000002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140805.14000000001</v>
      </c>
      <c r="D91" s="131">
        <f>SUM(D85:D90)</f>
        <v>110440.57</v>
      </c>
      <c r="E91" s="131">
        <f>SUM(E85:E90)</f>
        <v>226095.15000000002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7922.61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28985.200000000001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28985.200000000001</v>
      </c>
      <c r="D103" s="86">
        <f>SUM(D93:D102)</f>
        <v>7922.61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8919553.3300000001</v>
      </c>
      <c r="D104" s="86">
        <f>D63+D81+D91+D103</f>
        <v>172136.50999999998</v>
      </c>
      <c r="E104" s="86">
        <f>E63+E81+E91+E103</f>
        <v>226095.15000000002</v>
      </c>
      <c r="F104" s="86">
        <f>F63+F81+F91+F103</f>
        <v>0</v>
      </c>
      <c r="G104" s="86">
        <f>G63+G81+G103</f>
        <v>22282.46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4155638.8899999997</v>
      </c>
      <c r="D109" s="24" t="s">
        <v>289</v>
      </c>
      <c r="E109" s="95">
        <f>('DOE25'!L276)+('DOE25'!L295)+('DOE25'!L314)</f>
        <v>138763.46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2288432.12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32470.7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6476541.71</v>
      </c>
      <c r="D115" s="86">
        <f>SUM(D109:D114)</f>
        <v>0</v>
      </c>
      <c r="E115" s="86">
        <f>SUM(E109:E114)</f>
        <v>138763.46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754245.55999999994</v>
      </c>
      <c r="D118" s="24" t="s">
        <v>289</v>
      </c>
      <c r="E118" s="95">
        <f>+('DOE25'!L281)+('DOE25'!L300)+('DOE25'!L319)</f>
        <v>4512.09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99403.21</v>
      </c>
      <c r="D119" s="24" t="s">
        <v>289</v>
      </c>
      <c r="E119" s="95">
        <f>+('DOE25'!L282)+('DOE25'!L301)+('DOE25'!L320)</f>
        <v>75194.36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225529.34999999998</v>
      </c>
      <c r="D120" s="24" t="s">
        <v>289</v>
      </c>
      <c r="E120" s="95">
        <f>+('DOE25'!L283)+('DOE25'!L302)+('DOE25'!L321)</f>
        <v>7625.24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470697.75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529253.28999999992</v>
      </c>
      <c r="D123" s="24" t="s">
        <v>289</v>
      </c>
      <c r="E123" s="95">
        <f>+('DOE25'!L286)+('DOE25'!L305)+('DOE25'!L324)</f>
        <v>1688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352621.13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172136.51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2431750.2899999996</v>
      </c>
      <c r="D128" s="86">
        <f>SUM(D118:D127)</f>
        <v>172136.51</v>
      </c>
      <c r="E128" s="86">
        <f>SUM(E118:E127)</f>
        <v>89019.69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9780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7922.61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226.64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22055.819999999996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-22282.459999999995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39669.5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57372.11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8965664.1099999994</v>
      </c>
      <c r="D145" s="86">
        <f>(D115+D128+D144)</f>
        <v>172136.51</v>
      </c>
      <c r="E145" s="86">
        <f>(E115+E128+E144)</f>
        <v>227783.15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Allenstown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18391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18391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4294402</v>
      </c>
      <c r="D10" s="182">
        <f>ROUND((C10/$C$28)*100,1)</f>
        <v>46.2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2288432</v>
      </c>
      <c r="D11" s="182">
        <f>ROUND((C11/$C$28)*100,1)</f>
        <v>24.6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32471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758758</v>
      </c>
      <c r="D15" s="182">
        <f t="shared" ref="D15:D27" si="0">ROUND((C15/$C$28)*100,1)</f>
        <v>8.1999999999999993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174598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233155</v>
      </c>
      <c r="D17" s="182">
        <f t="shared" si="0"/>
        <v>2.5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470698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530941</v>
      </c>
      <c r="D20" s="182">
        <f t="shared" si="0"/>
        <v>5.7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352621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39669.5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120515.69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9296261.1899999995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9780</v>
      </c>
    </row>
    <row r="30" spans="1:4" x14ac:dyDescent="0.2">
      <c r="B30" s="187" t="s">
        <v>729</v>
      </c>
      <c r="C30" s="180">
        <f>SUM(C28:C29)</f>
        <v>9306041.1899999995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3971231</v>
      </c>
      <c r="D35" s="182">
        <f t="shared" ref="D35:D40" si="1">ROUND((C35/$C$41)*100,1)</f>
        <v>42.9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72525.100000000093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4655602</v>
      </c>
      <c r="D37" s="182">
        <f t="shared" si="1"/>
        <v>50.3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74839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477341</v>
      </c>
      <c r="D39" s="182">
        <f t="shared" si="1"/>
        <v>5.2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9251538.0999999996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Allenstown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2016-10-24T14:22:23Z</cp:lastPrinted>
  <dcterms:created xsi:type="dcterms:W3CDTF">1997-12-04T19:04:30Z</dcterms:created>
  <dcterms:modified xsi:type="dcterms:W3CDTF">2016-10-24T14:26:44Z</dcterms:modified>
</cp:coreProperties>
</file>