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G48" i="1" l="1"/>
  <c r="F12" i="1"/>
  <c r="I48" i="1" l="1"/>
  <c r="C37" i="12" l="1"/>
  <c r="B19" i="12"/>
  <c r="B10" i="12"/>
  <c r="G611" i="1" l="1"/>
  <c r="G612" i="1"/>
  <c r="F611" i="1"/>
  <c r="F612" i="1"/>
  <c r="I612" i="1"/>
  <c r="G499" i="1" l="1"/>
  <c r="F499" i="1"/>
  <c r="F498" i="1"/>
  <c r="G498" i="1"/>
  <c r="H604" i="1" l="1"/>
  <c r="G442" i="1" l="1"/>
  <c r="H439" i="1"/>
  <c r="G42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E118" i="2" s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L341" i="1"/>
  <c r="E131" i="2" s="1"/>
  <c r="L342" i="1"/>
  <c r="E132" i="2" s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56" i="2" s="1"/>
  <c r="F79" i="1"/>
  <c r="C57" i="2" s="1"/>
  <c r="F94" i="1"/>
  <c r="C58" i="2" s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H162" i="1"/>
  <c r="H169" i="1" s="1"/>
  <c r="I147" i="1"/>
  <c r="I162" i="1"/>
  <c r="L250" i="1"/>
  <c r="C113" i="2" s="1"/>
  <c r="L332" i="1"/>
  <c r="E113" i="2" s="1"/>
  <c r="L254" i="1"/>
  <c r="L268" i="1"/>
  <c r="C142" i="2" s="1"/>
  <c r="L269" i="1"/>
  <c r="C143" i="2" s="1"/>
  <c r="L349" i="1"/>
  <c r="E142" i="2" s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D115" i="2"/>
  <c r="F115" i="2"/>
  <c r="G115" i="2"/>
  <c r="E123" i="2"/>
  <c r="E124" i="2"/>
  <c r="F128" i="2"/>
  <c r="G128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H32" i="1"/>
  <c r="I32" i="1"/>
  <c r="H51" i="1"/>
  <c r="I51" i="1"/>
  <c r="G625" i="1" s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F460" i="1"/>
  <c r="G460" i="1"/>
  <c r="H460" i="1"/>
  <c r="I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H636" i="1"/>
  <c r="G643" i="1"/>
  <c r="G644" i="1"/>
  <c r="G650" i="1"/>
  <c r="G651" i="1"/>
  <c r="G652" i="1"/>
  <c r="H652" i="1"/>
  <c r="G653" i="1"/>
  <c r="H653" i="1"/>
  <c r="G654" i="1"/>
  <c r="H654" i="1"/>
  <c r="H655" i="1"/>
  <c r="I169" i="1"/>
  <c r="J140" i="1"/>
  <c r="H140" i="1"/>
  <c r="J651" i="1" l="1"/>
  <c r="H571" i="1"/>
  <c r="L539" i="1"/>
  <c r="I571" i="1"/>
  <c r="L529" i="1"/>
  <c r="H662" i="1"/>
  <c r="I662" i="1" s="1"/>
  <c r="C109" i="2"/>
  <c r="G645" i="1"/>
  <c r="G461" i="1"/>
  <c r="H640" i="1" s="1"/>
  <c r="J552" i="1"/>
  <c r="L351" i="1"/>
  <c r="G32" i="1"/>
  <c r="G52" i="1" s="1"/>
  <c r="H618" i="1" s="1"/>
  <c r="J618" i="1" s="1"/>
  <c r="E78" i="2"/>
  <c r="G81" i="2"/>
  <c r="H408" i="1"/>
  <c r="H644" i="1" s="1"/>
  <c r="J644" i="1" s="1"/>
  <c r="D50" i="2"/>
  <c r="G408" i="1"/>
  <c r="H645" i="1" s="1"/>
  <c r="L382" i="1"/>
  <c r="G636" i="1" s="1"/>
  <c r="J636" i="1" s="1"/>
  <c r="G552" i="1"/>
  <c r="E122" i="2"/>
  <c r="J649" i="1"/>
  <c r="D7" i="13"/>
  <c r="C7" i="13" s="1"/>
  <c r="C12" i="10"/>
  <c r="L565" i="1"/>
  <c r="L571" i="1" s="1"/>
  <c r="I408" i="1"/>
  <c r="L427" i="1"/>
  <c r="F408" i="1"/>
  <c r="H643" i="1" s="1"/>
  <c r="J643" i="1" s="1"/>
  <c r="F78" i="2"/>
  <c r="F81" i="2" s="1"/>
  <c r="K545" i="1"/>
  <c r="I552" i="1"/>
  <c r="C26" i="10"/>
  <c r="G62" i="2"/>
  <c r="G63" i="2" s="1"/>
  <c r="G662" i="1"/>
  <c r="L570" i="1"/>
  <c r="J545" i="1"/>
  <c r="I369" i="1"/>
  <c r="H634" i="1" s="1"/>
  <c r="G192" i="1"/>
  <c r="F130" i="2"/>
  <c r="F144" i="2" s="1"/>
  <c r="F145" i="2" s="1"/>
  <c r="A13" i="12"/>
  <c r="E111" i="2"/>
  <c r="C25" i="10"/>
  <c r="F461" i="1"/>
  <c r="H639" i="1" s="1"/>
  <c r="J639" i="1" s="1"/>
  <c r="L433" i="1"/>
  <c r="J640" i="1"/>
  <c r="L419" i="1"/>
  <c r="L309" i="1"/>
  <c r="J571" i="1"/>
  <c r="K571" i="1"/>
  <c r="L560" i="1"/>
  <c r="F192" i="1"/>
  <c r="L401" i="1"/>
  <c r="C139" i="2" s="1"/>
  <c r="L393" i="1"/>
  <c r="C138" i="2" s="1"/>
  <c r="L328" i="1"/>
  <c r="E125" i="2"/>
  <c r="E121" i="2"/>
  <c r="E112" i="2"/>
  <c r="H661" i="1"/>
  <c r="L247" i="1"/>
  <c r="C11" i="10"/>
  <c r="K503" i="1"/>
  <c r="H461" i="1"/>
  <c r="H641" i="1" s="1"/>
  <c r="J641" i="1" s="1"/>
  <c r="E103" i="2"/>
  <c r="K549" i="1"/>
  <c r="H112" i="1"/>
  <c r="H193" i="1" s="1"/>
  <c r="E120" i="2"/>
  <c r="L614" i="1"/>
  <c r="E119" i="2"/>
  <c r="C112" i="2"/>
  <c r="A31" i="12"/>
  <c r="D19" i="13"/>
  <c r="C19" i="13" s="1"/>
  <c r="D18" i="13"/>
  <c r="C18" i="13" s="1"/>
  <c r="D17" i="13"/>
  <c r="C17" i="13" s="1"/>
  <c r="F32" i="1"/>
  <c r="F52" i="1" s="1"/>
  <c r="H617" i="1" s="1"/>
  <c r="J617" i="1" s="1"/>
  <c r="G164" i="2"/>
  <c r="G161" i="2"/>
  <c r="G157" i="2"/>
  <c r="G156" i="2"/>
  <c r="D91" i="2"/>
  <c r="D81" i="2"/>
  <c r="F257" i="1"/>
  <c r="F271" i="1" s="1"/>
  <c r="K605" i="1"/>
  <c r="G648" i="1" s="1"/>
  <c r="K598" i="1"/>
  <c r="G647" i="1" s="1"/>
  <c r="H338" i="1"/>
  <c r="H352" i="1" s="1"/>
  <c r="G338" i="1"/>
  <c r="G352" i="1" s="1"/>
  <c r="E109" i="2"/>
  <c r="F338" i="1"/>
  <c r="F352" i="1" s="1"/>
  <c r="C17" i="10"/>
  <c r="C16" i="10"/>
  <c r="C15" i="10"/>
  <c r="K338" i="1"/>
  <c r="K352" i="1" s="1"/>
  <c r="L290" i="1"/>
  <c r="C10" i="10"/>
  <c r="I545" i="1"/>
  <c r="F552" i="1"/>
  <c r="G545" i="1"/>
  <c r="H552" i="1"/>
  <c r="H545" i="1"/>
  <c r="D14" i="13"/>
  <c r="C14" i="13" s="1"/>
  <c r="C122" i="2"/>
  <c r="E8" i="13"/>
  <c r="C8" i="13" s="1"/>
  <c r="C118" i="2"/>
  <c r="L229" i="1"/>
  <c r="E16" i="13"/>
  <c r="C16" i="13" s="1"/>
  <c r="F662" i="1"/>
  <c r="D15" i="13"/>
  <c r="C15" i="13" s="1"/>
  <c r="H647" i="1"/>
  <c r="C124" i="2"/>
  <c r="C21" i="10"/>
  <c r="I257" i="1"/>
  <c r="I271" i="1" s="1"/>
  <c r="C19" i="10"/>
  <c r="E13" i="13"/>
  <c r="C13" i="13" s="1"/>
  <c r="D12" i="13"/>
  <c r="C12" i="13" s="1"/>
  <c r="C18" i="10"/>
  <c r="J655" i="1"/>
  <c r="C132" i="2"/>
  <c r="C32" i="10"/>
  <c r="L270" i="1"/>
  <c r="J257" i="1"/>
  <c r="J271" i="1" s="1"/>
  <c r="H257" i="1"/>
  <c r="H271" i="1" s="1"/>
  <c r="L256" i="1"/>
  <c r="F661" i="1"/>
  <c r="J634" i="1"/>
  <c r="D6" i="13"/>
  <c r="C6" i="13" s="1"/>
  <c r="A40" i="12"/>
  <c r="K257" i="1"/>
  <c r="K271" i="1" s="1"/>
  <c r="G257" i="1"/>
  <c r="G271" i="1" s="1"/>
  <c r="E62" i="2"/>
  <c r="E63" i="2" s="1"/>
  <c r="D62" i="2"/>
  <c r="D63" i="2" s="1"/>
  <c r="C91" i="2"/>
  <c r="C78" i="2"/>
  <c r="C70" i="2"/>
  <c r="F112" i="1"/>
  <c r="C62" i="2"/>
  <c r="C63" i="2" s="1"/>
  <c r="I52" i="1"/>
  <c r="H620" i="1" s="1"/>
  <c r="J620" i="1" s="1"/>
  <c r="F18" i="2"/>
  <c r="E31" i="2"/>
  <c r="H52" i="1"/>
  <c r="H619" i="1" s="1"/>
  <c r="J619" i="1" s="1"/>
  <c r="D31" i="2"/>
  <c r="D51" i="2" s="1"/>
  <c r="D18" i="2"/>
  <c r="C18" i="2"/>
  <c r="D5" i="13"/>
  <c r="C5" i="13" s="1"/>
  <c r="F22" i="13"/>
  <c r="C22" i="13" s="1"/>
  <c r="K550" i="1"/>
  <c r="D29" i="13"/>
  <c r="C29" i="13" s="1"/>
  <c r="G624" i="1"/>
  <c r="L534" i="1"/>
  <c r="K500" i="1"/>
  <c r="I460" i="1"/>
  <c r="I452" i="1"/>
  <c r="I446" i="1"/>
  <c r="G642" i="1" s="1"/>
  <c r="C125" i="2"/>
  <c r="C123" i="2"/>
  <c r="C121" i="2"/>
  <c r="C119" i="2"/>
  <c r="C114" i="2"/>
  <c r="C110" i="2"/>
  <c r="G661" i="1"/>
  <c r="L211" i="1"/>
  <c r="C20" i="10"/>
  <c r="L362" i="1"/>
  <c r="C35" i="10"/>
  <c r="C36" i="10" s="1"/>
  <c r="C29" i="10"/>
  <c r="L544" i="1"/>
  <c r="L524" i="1"/>
  <c r="J338" i="1"/>
  <c r="J352" i="1" s="1"/>
  <c r="D127" i="2"/>
  <c r="D128" i="2" s="1"/>
  <c r="D145" i="2" s="1"/>
  <c r="C120" i="2"/>
  <c r="C13" i="10"/>
  <c r="K551" i="1"/>
  <c r="H25" i="13"/>
  <c r="F169" i="1"/>
  <c r="E81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G169" i="1"/>
  <c r="G140" i="1"/>
  <c r="F140" i="1"/>
  <c r="G42" i="2"/>
  <c r="G50" i="2" s="1"/>
  <c r="J51" i="1"/>
  <c r="G16" i="2"/>
  <c r="G18" i="2" s="1"/>
  <c r="J19" i="1"/>
  <c r="G621" i="1" s="1"/>
  <c r="F545" i="1"/>
  <c r="H434" i="1"/>
  <c r="D103" i="2"/>
  <c r="I140" i="1"/>
  <c r="A22" i="12"/>
  <c r="J652" i="1"/>
  <c r="G571" i="1"/>
  <c r="I434" i="1"/>
  <c r="G434" i="1"/>
  <c r="I663" i="1"/>
  <c r="H660" i="1" l="1"/>
  <c r="J645" i="1"/>
  <c r="I193" i="1"/>
  <c r="G630" i="1" s="1"/>
  <c r="I661" i="1"/>
  <c r="H664" i="1"/>
  <c r="H672" i="1" s="1"/>
  <c r="C6" i="10" s="1"/>
  <c r="I461" i="1"/>
  <c r="H642" i="1" s="1"/>
  <c r="D104" i="2"/>
  <c r="G629" i="1"/>
  <c r="H468" i="1"/>
  <c r="C27" i="10"/>
  <c r="C28" i="10" s="1"/>
  <c r="D22" i="10" s="1"/>
  <c r="G472" i="1"/>
  <c r="E115" i="2"/>
  <c r="E145" i="2" s="1"/>
  <c r="G646" i="1"/>
  <c r="J468" i="1"/>
  <c r="G51" i="2"/>
  <c r="J642" i="1"/>
  <c r="L434" i="1"/>
  <c r="C141" i="2"/>
  <c r="C144" i="2" s="1"/>
  <c r="L408" i="1"/>
  <c r="G637" i="1" s="1"/>
  <c r="E128" i="2"/>
  <c r="C115" i="2"/>
  <c r="L338" i="1"/>
  <c r="L352" i="1" s="1"/>
  <c r="G660" i="1"/>
  <c r="G664" i="1" s="1"/>
  <c r="C81" i="2"/>
  <c r="C104" i="2" s="1"/>
  <c r="E104" i="2"/>
  <c r="J647" i="1"/>
  <c r="F660" i="1"/>
  <c r="K552" i="1"/>
  <c r="L545" i="1"/>
  <c r="E33" i="13"/>
  <c r="D35" i="13" s="1"/>
  <c r="F33" i="13"/>
  <c r="H667" i="1"/>
  <c r="G635" i="1"/>
  <c r="L257" i="1"/>
  <c r="L271" i="1" s="1"/>
  <c r="F104" i="2"/>
  <c r="C39" i="10"/>
  <c r="F193" i="1"/>
  <c r="E51" i="2"/>
  <c r="F51" i="2"/>
  <c r="D31" i="13"/>
  <c r="C31" i="13" s="1"/>
  <c r="H648" i="1"/>
  <c r="J648" i="1" s="1"/>
  <c r="G104" i="2"/>
  <c r="C25" i="13"/>
  <c r="H33" i="13"/>
  <c r="C128" i="2"/>
  <c r="C51" i="2"/>
  <c r="G631" i="1"/>
  <c r="G193" i="1"/>
  <c r="G626" i="1"/>
  <c r="J52" i="1"/>
  <c r="H621" i="1" s="1"/>
  <c r="J621" i="1" s="1"/>
  <c r="C38" i="10"/>
  <c r="I468" i="1" l="1"/>
  <c r="H630" i="1" s="1"/>
  <c r="J630" i="1" s="1"/>
  <c r="G474" i="1"/>
  <c r="H635" i="1"/>
  <c r="J635" i="1" s="1"/>
  <c r="G638" i="1"/>
  <c r="J472" i="1"/>
  <c r="H629" i="1"/>
  <c r="J629" i="1" s="1"/>
  <c r="H470" i="1"/>
  <c r="G632" i="1"/>
  <c r="F472" i="1"/>
  <c r="G627" i="1"/>
  <c r="F468" i="1"/>
  <c r="I470" i="1"/>
  <c r="I476" i="1" s="1"/>
  <c r="H625" i="1" s="1"/>
  <c r="J625" i="1" s="1"/>
  <c r="G628" i="1"/>
  <c r="G468" i="1"/>
  <c r="H631" i="1"/>
  <c r="J631" i="1" s="1"/>
  <c r="H637" i="1"/>
  <c r="J637" i="1" s="1"/>
  <c r="J470" i="1"/>
  <c r="G633" i="1"/>
  <c r="H472" i="1"/>
  <c r="H646" i="1"/>
  <c r="J646" i="1" s="1"/>
  <c r="C145" i="2"/>
  <c r="I660" i="1"/>
  <c r="I664" i="1" s="1"/>
  <c r="I672" i="1" s="1"/>
  <c r="C7" i="10" s="1"/>
  <c r="F664" i="1"/>
  <c r="F667" i="1" s="1"/>
  <c r="D10" i="10"/>
  <c r="D26" i="10"/>
  <c r="D11" i="10"/>
  <c r="C30" i="10"/>
  <c r="D21" i="10"/>
  <c r="D12" i="10"/>
  <c r="D25" i="10"/>
  <c r="D20" i="10"/>
  <c r="D16" i="10"/>
  <c r="D13" i="10"/>
  <c r="D18" i="10"/>
  <c r="D19" i="10"/>
  <c r="D15" i="10"/>
  <c r="D24" i="10"/>
  <c r="D27" i="10"/>
  <c r="D17" i="10"/>
  <c r="D23" i="10"/>
  <c r="D33" i="13"/>
  <c r="D36" i="13" s="1"/>
  <c r="G672" i="1"/>
  <c r="C5" i="10" s="1"/>
  <c r="G667" i="1"/>
  <c r="C41" i="10"/>
  <c r="D38" i="10" s="1"/>
  <c r="F672" i="1" l="1"/>
  <c r="C4" i="10" s="1"/>
  <c r="F470" i="1"/>
  <c r="H627" i="1"/>
  <c r="J627" i="1" s="1"/>
  <c r="J474" i="1"/>
  <c r="J476" i="1" s="1"/>
  <c r="H626" i="1" s="1"/>
  <c r="J626" i="1" s="1"/>
  <c r="H638" i="1"/>
  <c r="J638" i="1" s="1"/>
  <c r="I667" i="1"/>
  <c r="G470" i="1"/>
  <c r="G476" i="1" s="1"/>
  <c r="H623" i="1" s="1"/>
  <c r="J623" i="1" s="1"/>
  <c r="H628" i="1"/>
  <c r="J628" i="1" s="1"/>
  <c r="H632" i="1"/>
  <c r="J632" i="1" s="1"/>
  <c r="F474" i="1"/>
  <c r="H474" i="1"/>
  <c r="H476" i="1" s="1"/>
  <c r="H624" i="1" s="1"/>
  <c r="J624" i="1" s="1"/>
  <c r="H633" i="1"/>
  <c r="J633" i="1" s="1"/>
  <c r="D28" i="10"/>
  <c r="D37" i="10"/>
  <c r="D36" i="10"/>
  <c r="D35" i="10"/>
  <c r="D40" i="10"/>
  <c r="D39" i="10"/>
  <c r="F476" i="1" l="1"/>
  <c r="H622" i="1" s="1"/>
  <c r="J622" i="1" s="1"/>
  <c r="D41" i="10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<sst xmlns="http://schemas.openxmlformats.org/spreadsheetml/2006/main" count="3961" uniqueCount="918">
  <si>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</si>
  <si>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</si>
  <si>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</si>
  <si>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</si>
  <si>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</si>
  <si>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</si>
  <si>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</si>
  <si>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</si>
  <si>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</si>
  <si>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</si>
  <si>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</si>
  <si>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</si>
  <si>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</si>
  <si>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</si>
  <si>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</si>
  <si>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</si>
  <si>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</si>
  <si>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</si>
  <si>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</si>
  <si>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</si>
  <si>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</si>
  <si>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</si>
  <si>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</si>
  <si>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</si>
  <si>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</si>
  <si>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</si>
  <si>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</si>
  <si>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</si>
  <si>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</si>
  <si>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</si>
  <si>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</si>
  <si>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</si>
  <si>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</si>
  <si>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</si>
  <si>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</si>
  <si>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</si>
  <si>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</si>
  <si>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</si>
  <si>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</si>
  <si>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</si>
  <si>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</si>
  <si>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</si>
  <si>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</si>
  <si>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</si>
  <si>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</si>
  <si>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</si>
  <si>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</si>
  <si>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</si>
  <si>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</si>
  <si>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</si>
  <si>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</si>
  <si>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</si>
  <si>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</si>
  <si>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</si>
  <si>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</si>
  <si>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</si>
  <si>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</si>
  <si>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</si>
  <si>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</si>
  <si>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</si>
  <si>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</si>
  <si>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</si>
  <si>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</si>
  <si>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</si>
  <si>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</si>
  <si>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</si>
  <si>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</si>
  <si>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</si>
  <si>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</si>
  <si>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</si>
  <si>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</si>
  <si>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</si>
  <si>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</si>
  <si>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</si>
  <si>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</si>
  <si>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</si>
  <si>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</si>
  <si>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</si>
  <si>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</si>
  <si>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</si>
  <si>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</si>
  <si>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</si>
  <si>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</si>
  <si>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</si>
  <si>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</si>
  <si>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</si>
  <si>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</si>
  <si>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</si>
  <si>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</si>
  <si>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</si>
  <si>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</si>
  <si>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</si>
  <si>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</si>
  <si>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</si>
  <si>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</si>
  <si>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</si>
  <si>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</si>
  <si>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</si>
  <si>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</si>
  <si>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</si>
  <si>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</si>
  <si>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</si>
  <si>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</si>
  <si>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</si>
  <si>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</si>
  <si>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</si>
  <si>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</si>
  <si>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</si>
  <si>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</si>
  <si>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</si>
  <si>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</si>
  <si>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</si>
  <si>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</si>
  <si>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</si>
  <si>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</si>
  <si>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</si>
  <si>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</si>
  <si>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</si>
  <si>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</si>
  <si>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</si>
  <si>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</si>
  <si>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</si>
  <si>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</si>
  <si>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</si>
  <si>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</si>
  <si>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</si>
  <si>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</si>
  <si>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</si>
  <si>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</si>
  <si>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</si>
  <si>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</si>
  <si>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</si>
  <si>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</si>
  <si>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</si>
  <si>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</si>
  <si>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</si>
  <si>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</si>
  <si>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</si>
  <si>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</si>
  <si>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</si>
  <si>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</si>
  <si>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</si>
  <si>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</si>
  <si>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</si>
  <si>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</si>
  <si>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</si>
  <si>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</si>
  <si>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</si>
  <si>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</si>
  <si>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</si>
  <si>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</si>
  <si>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</si>
  <si>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</si>
  <si>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</si>
  <si>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</si>
  <si>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</si>
  <si>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</si>
  <si>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</si>
  <si>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</si>
  <si>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</si>
  <si>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</si>
  <si>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</si>
  <si>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</si>
  <si>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</si>
  <si>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</si>
  <si>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</si>
  <si>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</si>
  <si>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</si>
  <si>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</si>
  <si>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</si>
  <si>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</si>
  <si>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</si>
  <si>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</si>
  <si>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</si>
  <si>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</si>
  <si>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</si>
  <si>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</si>
  <si>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</si>
  <si>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</si>
  <si>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</si>
  <si>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</si>
  <si>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</si>
  <si>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</si>
  <si>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</si>
  <si>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</si>
  <si>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</si>
  <si>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</si>
  <si>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</si>
  <si>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</si>
  <si>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</si>
  <si>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</si>
  <si>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</si>
  <si>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</si>
  <si>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</si>
  <si>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</si>
  <si>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</si>
  <si>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</si>
  <si>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</si>
  <si>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</si>
  <si>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</si>
  <si>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</si>
  <si>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</si>
  <si>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</si>
  <si>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</si>
  <si>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</si>
  <si>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</si>
  <si>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</si>
  <si>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</si>
  <si>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</si>
  <si>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</si>
  <si>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</si>
  <si>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</si>
  <si>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</si>
  <si>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</si>
  <si>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</si>
  <si>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</si>
  <si>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</si>
  <si>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</si>
  <si>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</si>
  <si>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</si>
  <si>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</si>
  <si>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</si>
  <si>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</si>
  <si>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</si>
  <si>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</si>
  <si>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</si>
  <si>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</si>
  <si>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</si>
  <si>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</si>
  <si>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</si>
  <si>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</si>
  <si>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</si>
  <si>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</si>
  <si>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</si>
  <si>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</si>
  <si>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</si>
  <si>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</si>
  <si>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</si>
  <si>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</si>
  <si>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</si>
  <si>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</si>
  <si>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</si>
  <si>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</si>
  <si>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</si>
  <si>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</si>
  <si>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</si>
  <si>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</si>
  <si>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</si>
  <si>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</si>
  <si>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</si>
  <si>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</si>
  <si>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</si>
  <si>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</si>
  <si>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</si>
  <si>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</si>
  <si>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</si>
  <si>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</si>
  <si>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</si>
  <si>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</si>
  <si>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</si>
  <si>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</si>
  <si>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</si>
  <si>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</si>
  <si>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</si>
  <si>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</si>
  <si>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</si>
  <si>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</si>
  <si>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</si>
  <si>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</si>
  <si>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</si>
  <si>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</si>
  <si>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</si>
  <si>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</si>
  <si>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</si>
  <si>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</si>
  <si>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</si>
  <si>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</si>
  <si>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</si>
  <si>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</si>
  <si>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</si>
  <si>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</si>
  <si>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</si>
  <si>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</si>
  <si>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</si>
  <si>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</si>
  <si>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</si>
  <si>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</si>
  <si>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</si>
  <si>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</si>
  <si>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</si>
  <si>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</si>
  <si>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</si>
  <si>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</si>
  <si>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</si>
  <si>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</si>
  <si>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</si>
  <si>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</si>
  <si>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</si>
  <si>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</si>
  <si>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</si>
  <si>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</si>
  <si>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</si>
  <si>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</si>
  <si>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</si>
  <si>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</si>
  <si>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</si>
  <si>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</si>
  <si>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</si>
  <si>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</si>
  <si>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</si>
  <si>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</si>
  <si>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</si>
  <si>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</si>
  <si>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</si>
  <si>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</si>
  <si>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</si>
  <si>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</si>
  <si>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</si>
  <si>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</si>
  <si>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</si>
  <si>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</si>
  <si>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</si>
  <si>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</si>
  <si>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</si>
  <si>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</si>
  <si>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</si>
  <si>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</si>
  <si>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</si>
  <si>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</si>
  <si>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</si>
  <si>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</si>
  <si>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</si>
  <si>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</si>
  <si>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</si>
  <si>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</si>
  <si>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</si>
  <si>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</si>
  <si>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</si>
  <si>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</si>
  <si>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</si>
  <si>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</si>
  <si>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</si>
  <si>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</si>
  <si>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</si>
  <si>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</si>
  <si>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</si>
  <si>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</si>
  <si>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</si>
  <si>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</si>
  <si>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</si>
  <si>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</si>
  <si>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</si>
  <si>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</si>
  <si>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</si>
  <si>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</si>
  <si>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</si>
  <si>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</si>
  <si>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</si>
  <si>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</si>
  <si>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</si>
  <si>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</si>
  <si>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</si>
  <si>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</si>
  <si>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</si>
  <si>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</si>
  <si>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</si>
  <si>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</si>
  <si>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</si>
  <si>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</si>
  <si>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</si>
  <si>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</si>
  <si>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</si>
  <si>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</si>
  <si>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</si>
  <si>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</si>
  <si>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</si>
  <si>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</si>
  <si>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</si>
  <si>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</si>
  <si>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</si>
  <si>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</si>
  <si>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</si>
  <si>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</si>
  <si>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</si>
  <si>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</si>
  <si>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</si>
  <si>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</si>
  <si>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</si>
  <si>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</si>
  <si>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</si>
  <si>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</si>
  <si>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</si>
  <si>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</si>
  <si>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</si>
  <si>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</si>
  <si>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</si>
  <si>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</si>
  <si>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</si>
  <si>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</si>
  <si>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</si>
  <si>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</si>
  <si>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</si>
  <si>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</si>
  <si>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</si>
  <si>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</si>
  <si>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</si>
  <si>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</si>
  <si>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</si>
  <si>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</si>
  <si>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</si>
  <si>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</si>
  <si>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</si>
  <si>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</si>
  <si>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</si>
  <si>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</si>
  <si>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</si>
  <si>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</si>
  <si>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</si>
  <si>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</si>
  <si>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</si>
  <si>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</si>
  <si>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</si>
  <si>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</si>
  <si>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</si>
  <si>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</si>
  <si>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</si>
  <si>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</si>
  <si>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</si>
  <si>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</si>
  <si>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</si>
  <si>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</si>
  <si>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</si>
  <si>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</si>
  <si>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</si>
  <si>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</si>
  <si>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</si>
  <si>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</si>
  <si>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</si>
  <si>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</si>
  <si>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</si>
  <si>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</si>
  <si>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</si>
  <si>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</si>
  <si>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</si>
  <si>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</si>
  <si>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</si>
  <si>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</si>
  <si>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</si>
  <si>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</si>
  <si>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</si>
  <si>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</si>
  <si>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</si>
  <si>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</si>
  <si>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</si>
  <si>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</si>
  <si>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</si>
  <si>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</si>
  <si>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</si>
  <si>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</si>
  <si>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</si>
  <si>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</si>
  <si>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</si>
  <si>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</si>
  <si>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</si>
  <si>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</si>
  <si>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</si>
  <si>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</si>
  <si>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</si>
  <si>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</si>
  <si>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</si>
  <si>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</si>
  <si>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</si>
  <si>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</si>
  <si>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</si>
  <si>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</si>
  <si>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</si>
  <si>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</si>
  <si>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</si>
  <si>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</si>
  <si>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</si>
  <si>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</si>
  <si>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</si>
  <si>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</si>
  <si>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</si>
  <si>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</si>
  <si>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</si>
  <si>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</si>
  <si>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</si>
  <si>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</si>
  <si>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</si>
  <si>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</si>
  <si>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</si>
  <si>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</si>
  <si>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</si>
  <si>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</si>
  <si>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</si>
  <si>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</si>
  <si>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</si>
  <si>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</si>
  <si>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</si>
  <si>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</si>
  <si>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</si>
  <si>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</si>
  <si>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</si>
  <si>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</si>
  <si>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</si>
  <si>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</si>
  <si>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</si>
  <si>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</si>
  <si>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</si>
  <si>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</si>
  <si>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</si>
  <si>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</si>
  <si>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</si>
  <si>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</si>
  <si>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</si>
  <si>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</si>
  <si>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</si>
  <si>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</si>
  <si>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</si>
  <si>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</si>
  <si>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</si>
  <si>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</si>
  <si>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</si>
  <si>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</si>
  <si>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</si>
  <si>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</si>
  <si>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</si>
  <si>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</si>
  <si>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</si>
  <si>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</si>
  <si>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</si>
  <si>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</si>
  <si>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</si>
  <si>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</si>
  <si>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</si>
  <si>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</si>
  <si>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</si>
  <si>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</si>
  <si>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</si>
  <si>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</si>
  <si>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</si>
  <si>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</si>
  <si>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</si>
  <si>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</si>
  <si>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</si>
  <si>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</si>
  <si>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</si>
  <si>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</si>
  <si>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</si>
  <si>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</si>
  <si>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</si>
  <si>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</si>
  <si>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</si>
  <si>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</si>
  <si>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</si>
  <si>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</si>
  <si>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</si>
  <si>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</si>
  <si>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</si>
  <si>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</si>
  <si>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</si>
  <si>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</si>
  <si>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</si>
  <si>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</si>
  <si>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</si>
  <si>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</si>
  <si>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</si>
  <si>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</si>
  <si>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</si>
  <si>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</si>
  <si>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</si>
  <si>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</si>
  <si>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</si>
  <si>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</si>
  <si>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</si>
  <si>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</si>
  <si>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</si>
  <si>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</si>
  <si>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</si>
  <si>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</si>
  <si>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</si>
  <si>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</si>
  <si>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</si>
  <si>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</si>
  <si>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</si>
  <si>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</si>
  <si>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</si>
  <si>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</si>
  <si>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</si>
  <si>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</si>
  <si>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</si>
  <si>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</si>
  <si>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</si>
  <si>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</si>
  <si>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</si>
  <si>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</si>
  <si>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</si>
  <si>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</si>
  <si>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</si>
  <si>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</si>
  <si>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</si>
  <si>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</si>
  <si>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</si>
  <si>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</si>
  <si>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</si>
  <si>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</si>
  <si>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</si>
  <si>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</si>
  <si>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</si>
  <si>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</si>
  <si>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</si>
  <si>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</si>
  <si>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</si>
  <si>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</si>
  <si>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</si>
  <si>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</si>
  <si>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</si>
  <si>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</si>
  <si>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</si>
  <si>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</si>
  <si>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</si>
  <si>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</si>
  <si>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</si>
  <si>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</si>
  <si>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</si>
  <si>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</si>
  <si>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</si>
  <si>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</si>
  <si>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</si>
  <si>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</si>
  <si>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</si>
  <si>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</si>
  <si>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</si>
  <si>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</si>
  <si>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</si>
  <si>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</si>
  <si>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</si>
  <si>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</si>
  <si>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</si>
  <si>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</si>
  <si>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</si>
  <si>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</si>
  <si>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</si>
  <si>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</si>
  <si>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</si>
  <si>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</si>
  <si>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</si>
  <si>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</si>
  <si>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</si>
  <si>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</si>
  <si>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</si>
  <si>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</si>
  <si>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</si>
  <si>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</si>
  <si>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</si>
  <si>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</si>
  <si>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</si>
  <si>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</si>
  <si>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</si>
  <si>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</si>
  <si>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</si>
  <si>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</si>
  <si>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</si>
  <si>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</si>
  <si>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</si>
  <si>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</si>
  <si>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</si>
  <si>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</si>
  <si>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</si>
  <si>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</si>
  <si>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</si>
  <si>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</si>
  <si>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</si>
  <si>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</si>
  <si>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</si>
  <si>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</si>
  <si>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</si>
  <si>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</si>
  <si>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</si>
  <si>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</si>
  <si>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</si>
  <si>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</si>
  <si>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</si>
  <si>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</si>
  <si>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</si>
  <si>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</si>
  <si>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</si>
  <si>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</si>
  <si>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</si>
  <si>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</si>
  <si>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</si>
  <si>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</si>
  <si>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</si>
  <si>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</si>
  <si>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</si>
  <si>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</si>
  <si>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</si>
  <si>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</si>
  <si>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</si>
  <si>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</si>
  <si>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</si>
  <si>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</si>
  <si>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</si>
  <si>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</si>
  <si>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</si>
  <si>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</si>
  <si>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</si>
  <si>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</si>
  <si>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</si>
  <si>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</si>
  <si>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</si>
  <si>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</si>
  <si>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</si>
  <si>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</si>
  <si>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</si>
  <si>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</si>
  <si>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</si>
  <si>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</si>
  <si>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</si>
  <si>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</si>
  <si>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</si>
  <si>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</si>
  <si>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</si>
  <si>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</si>
  <si>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</si>
  <si>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</si>
  <si>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</si>
  <si>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</si>
  <si>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</si>
  <si>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</si>
  <si>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</si>
  <si>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</si>
  <si>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</si>
  <si>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</si>
  <si>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</si>
  <si>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</si>
  <si>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</si>
  <si>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</si>
  <si>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</si>
  <si>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</si>
  <si>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</si>
  <si>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</si>
  <si>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</si>
  <si>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</si>
  <si>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</si>
  <si>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</si>
  <si>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</si>
  <si>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</si>
  <si>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</si>
  <si>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</si>
  <si>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</si>
  <si>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</si>
  <si>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</si>
  <si>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</si>
  <si>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</si>
  <si>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</si>
  <si>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</si>
  <si>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</si>
  <si>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</si>
  <si>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</si>
  <si>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</si>
  <si>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</si>
  <si>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</si>
  <si>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</si>
  <si>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</si>
  <si>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</si>
  <si>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</si>
  <si>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</si>
  <si>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</si>
  <si>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</si>
  <si>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</si>
  <si>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</si>
  <si>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</si>
  <si>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</si>
  <si>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</si>
  <si>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</si>
  <si>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</si>
  <si>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</si>
  <si>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</si>
  <si>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</si>
  <si>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</si>
  <si>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</si>
  <si>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</si>
  <si>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</si>
  <si>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</si>
  <si>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</si>
  <si>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</si>
  <si>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</si>
  <si>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</si>
  <si>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</si>
  <si>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</si>
  <si>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</si>
  <si>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</si>
  <si>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</si>
  <si>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</si>
  <si>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</si>
  <si>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</si>
  <si>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</si>
  <si>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</si>
  <si>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</si>
  <si>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</si>
  <si>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</si>
  <si>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</si>
  <si>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</si>
  <si>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</si>
  <si>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</si>
  <si>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</si>
  <si>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</si>
  <si>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</si>
  <si>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</si>
  <si>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</si>
  <si>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</si>
  <si>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</si>
  <si>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</si>
  <si>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</si>
  <si>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</si>
  <si>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</si>
  <si>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</si>
  <si>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</si>
  <si>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</si>
  <si>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</si>
  <si>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</si>
  <si>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</si>
  <si>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</si>
  <si>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</si>
  <si>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</si>
  <si>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</si>
  <si>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</si>
  <si>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</si>
  <si>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</si>
  <si>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</si>
  <si>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</si>
  <si>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</si>
  <si>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</si>
  <si>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</si>
  <si>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</si>
  <si>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</si>
  <si>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</si>
  <si>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</si>
  <si>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</si>
  <si>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</si>
  <si>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</si>
  <si>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</si>
  <si>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</si>
  <si>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</si>
  <si>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</si>
  <si>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</si>
  <si>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</si>
  <si>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</si>
  <si>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</si>
  <si>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</si>
  <si>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</si>
  <si>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</si>
  <si>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</si>
  <si>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</si>
  <si>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</si>
  <si>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</si>
  <si>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</si>
  <si>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</si>
  <si>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</si>
  <si>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</si>
  <si>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</si>
  <si>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</si>
  <si>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</si>
  <si>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</si>
  <si>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</si>
  <si>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</si>
  <si>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</si>
  <si>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</si>
  <si>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</si>
  <si>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</si>
  <si>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</si>
  <si>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</si>
  <si>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</si>
  <si>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</si>
  <si>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</si>
  <si>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</si>
  <si>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</si>
  <si>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</si>
  <si>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</si>
  <si>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</si>
  <si>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</si>
  <si>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</si>
  <si>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</si>
  <si>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</si>
  <si>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</si>
  <si>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</si>
  <si>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</si>
  <si>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</si>
  <si>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</si>
  <si>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</si>
  <si>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</si>
  <si>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</si>
  <si>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</si>
  <si>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</si>
  <si>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</si>
  <si>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</si>
  <si>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</si>
  <si>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</si>
  <si>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</si>
  <si>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</si>
  <si>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</si>
  <si>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</si>
  <si>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</si>
  <si>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</si>
  <si>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</si>
  <si>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</si>
  <si>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</si>
  <si>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</si>
  <si>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</si>
  <si>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</si>
  <si>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Amherst School District</t>
  </si>
  <si>
    <t>Agency Fund</t>
  </si>
  <si>
    <t>12/11</t>
  </si>
  <si>
    <t>07/08</t>
  </si>
  <si>
    <t>7/21</t>
  </si>
  <si>
    <t>08/28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</si>
</sst>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0" fillId="0" borderId="2" xfId="0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26" activePane="bottomRight" state="frozen"/>
      <selection pane="topRight" activeCell="F1" sqref="F1"/>
      <selection pane="bottomLeft" activeCell="A4" sqref="A4"/>
      <selection pane="bottomRight" activeCell="F50" sqref="F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17</v>
      </c>
      <c r="C2" s="21">
        <v>17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-188955.66</v>
      </c>
      <c r="G9" s="18">
        <v>0</v>
      </c>
      <c r="H9" s="18">
        <v>0</v>
      </c>
      <c r="I9" s="18">
        <v>30.99</v>
      </c>
      <c r="J9" s="67">
        <f>SUM(I439)</f>
        <v>75607.759999999995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210763.64</v>
      </c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233875.25-23987.51</f>
        <v>209887.74</v>
      </c>
      <c r="G12" s="18">
        <v>10082.51</v>
      </c>
      <c r="H12" s="18">
        <v>0</v>
      </c>
      <c r="I12" s="18">
        <v>0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398010.63</v>
      </c>
      <c r="G13" s="18">
        <v>10549.85</v>
      </c>
      <c r="H13" s="18">
        <v>169565.73</v>
      </c>
      <c r="I13" s="18">
        <v>0</v>
      </c>
      <c r="J13" s="67">
        <f>SUM(I442)</f>
        <v>198477.52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3348.1</v>
      </c>
      <c r="G14" s="18">
        <v>29.98</v>
      </c>
      <c r="H14" s="18">
        <v>0</v>
      </c>
      <c r="I14" s="18">
        <v>0</v>
      </c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633054.44999999995</v>
      </c>
      <c r="G19" s="41">
        <f>SUM(G9:G18)</f>
        <v>20662.34</v>
      </c>
      <c r="H19" s="41">
        <f>SUM(H9:H18)</f>
        <v>169565.73</v>
      </c>
      <c r="I19" s="41">
        <f>SUM(I9:I18)</f>
        <v>30.99</v>
      </c>
      <c r="J19" s="41">
        <f>SUM(J9:J18)</f>
        <v>274085.27999999997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169360.73</v>
      </c>
      <c r="I22" s="18">
        <v>0</v>
      </c>
      <c r="J22" s="67">
        <f>SUM(I448)</f>
        <v>50609.52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41842.54</v>
      </c>
      <c r="G23" s="18">
        <v>3141.58</v>
      </c>
      <c r="H23" s="18">
        <v>0</v>
      </c>
      <c r="I23" s="18">
        <v>0</v>
      </c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237304.99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45">
        <v>0</v>
      </c>
      <c r="H25" s="18">
        <v>0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39548.44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42931.74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2160</v>
      </c>
      <c r="G30" s="18">
        <v>17520.759999999998</v>
      </c>
      <c r="H30" s="18">
        <v>205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75607.759999999995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363787.70999999996</v>
      </c>
      <c r="G32" s="41">
        <f>SUM(G22:G31)</f>
        <v>20662.339999999997</v>
      </c>
      <c r="H32" s="41">
        <f>SUM(H22:H31)</f>
        <v>169565.73</v>
      </c>
      <c r="I32" s="41">
        <f>SUM(I22:I31)</f>
        <v>0</v>
      </c>
      <c r="J32" s="41">
        <f>SUM(J22:J31)</f>
        <v>126217.28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50000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f>-23987.51+23987.51</f>
        <v>0</v>
      </c>
      <c r="H48" s="18">
        <v>0</v>
      </c>
      <c r="I48" s="18">
        <f>30.97+0.02</f>
        <v>30.99</v>
      </c>
      <c r="J48" s="13">
        <f>SUM(I459)</f>
        <v>147868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293254.25-23987.51-50000</f>
        <v>219266.74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269266.74</v>
      </c>
      <c r="G51" s="41">
        <f>SUM(G35:G50)</f>
        <v>0</v>
      </c>
      <c r="H51" s="41">
        <f>SUM(H35:H50)</f>
        <v>0</v>
      </c>
      <c r="I51" s="41">
        <f>SUM(I35:I50)</f>
        <v>30.99</v>
      </c>
      <c r="J51" s="41">
        <f>SUM(J35:J50)</f>
        <v>147868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633054.44999999995</v>
      </c>
      <c r="G52" s="41">
        <f>G51+G32</f>
        <v>20662.339999999997</v>
      </c>
      <c r="H52" s="41">
        <f>H51+H32</f>
        <v>169565.73</v>
      </c>
      <c r="I52" s="41">
        <f>I51+I32</f>
        <v>30.99</v>
      </c>
      <c r="J52" s="41">
        <f>J51+J32</f>
        <v>274085.28000000003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16614254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16614254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56675.16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780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1094303.79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1151758.95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10150.709999999999</v>
      </c>
      <c r="G96" s="18"/>
      <c r="H96" s="18"/>
      <c r="I96" s="18">
        <v>0.02</v>
      </c>
      <c r="J96" s="18">
        <v>481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320649.45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19700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4022.5</v>
      </c>
      <c r="G101" s="18">
        <v>0</v>
      </c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4579.3999999999996</v>
      </c>
      <c r="G102" s="18"/>
      <c r="H102" s="18">
        <v>4220.96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91205.61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21719.89</v>
      </c>
      <c r="G109" s="18">
        <v>0</v>
      </c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3073.68</v>
      </c>
      <c r="G110" s="18">
        <v>639.61</v>
      </c>
      <c r="H110" s="18"/>
      <c r="I110" s="18"/>
      <c r="J110" s="18">
        <v>3519.52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154451.78999999998</v>
      </c>
      <c r="G111" s="41">
        <f>SUM(G96:G110)</f>
        <v>321289.06</v>
      </c>
      <c r="H111" s="41">
        <f>SUM(H96:H110)</f>
        <v>4220.96</v>
      </c>
      <c r="I111" s="41">
        <f>SUM(I96:I110)</f>
        <v>0.02</v>
      </c>
      <c r="J111" s="41">
        <f>SUM(J96:J110)</f>
        <v>4000.52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17920464.739999998</v>
      </c>
      <c r="G112" s="41">
        <f>G60+G111</f>
        <v>321289.06</v>
      </c>
      <c r="H112" s="41">
        <f>H60+H79+H94+H111</f>
        <v>4220.96</v>
      </c>
      <c r="I112" s="41">
        <f>I60+I111</f>
        <v>0.02</v>
      </c>
      <c r="J112" s="41">
        <f>J60+J111</f>
        <v>4000.52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2103516.9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2286180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4389696.9000000004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143915.70000000001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228642.25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3791.49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372557.95</v>
      </c>
      <c r="G136" s="41">
        <f>SUM(G123:G135)</f>
        <v>3791.49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4762254.8500000006</v>
      </c>
      <c r="G140" s="41">
        <f>G121+SUM(G136:G137)</f>
        <v>3791.49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37882.03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63069.29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73218.86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267002.64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197287.54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197287.54</v>
      </c>
      <c r="G162" s="41">
        <f>SUM(G150:G161)</f>
        <v>73218.86</v>
      </c>
      <c r="H162" s="41">
        <f>SUM(H150:H161)</f>
        <v>367953.96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197287.54</v>
      </c>
      <c r="G169" s="41">
        <f>G147+G162+SUM(G163:G168)</f>
        <v>73218.86</v>
      </c>
      <c r="H169" s="41">
        <f>H147+H162+SUM(H163:H168)</f>
        <v>367953.96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23987.51</v>
      </c>
      <c r="H179" s="18"/>
      <c r="I179" s="18">
        <v>0</v>
      </c>
      <c r="J179" s="18">
        <v>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23987.51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23987.51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22880007.129999999</v>
      </c>
      <c r="G193" s="47">
        <f>G112+G140+G169+G192</f>
        <v>422286.92</v>
      </c>
      <c r="H193" s="47">
        <f>H112+H140+H169+H192</f>
        <v>372174.92000000004</v>
      </c>
      <c r="I193" s="47">
        <f>I112+I140+I169+I192</f>
        <v>0.02</v>
      </c>
      <c r="J193" s="47">
        <f>J112+J140+J192</f>
        <v>54000.52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2933271.32</v>
      </c>
      <c r="G197" s="18">
        <v>1286633.8</v>
      </c>
      <c r="H197" s="18">
        <v>24680.5</v>
      </c>
      <c r="I197" s="18">
        <v>187045.96</v>
      </c>
      <c r="J197" s="18">
        <v>123637.94</v>
      </c>
      <c r="K197" s="18">
        <v>299</v>
      </c>
      <c r="L197" s="19">
        <f>SUM(F197:K197)</f>
        <v>4555568.5200000005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1204088.58</v>
      </c>
      <c r="G198" s="18">
        <v>756320.02</v>
      </c>
      <c r="H198" s="18">
        <v>158885</v>
      </c>
      <c r="I198" s="18">
        <v>8900.5300000000007</v>
      </c>
      <c r="J198" s="18">
        <v>5023.54</v>
      </c>
      <c r="K198" s="18">
        <v>0</v>
      </c>
      <c r="L198" s="19">
        <f>SUM(F198:K198)</f>
        <v>2133217.67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16467.5</v>
      </c>
      <c r="G200" s="18">
        <v>3373.05</v>
      </c>
      <c r="H200" s="18">
        <v>0</v>
      </c>
      <c r="I200" s="18">
        <v>0</v>
      </c>
      <c r="J200" s="18">
        <v>0</v>
      </c>
      <c r="K200" s="18">
        <v>243.5</v>
      </c>
      <c r="L200" s="19">
        <f>SUM(F200:K200)</f>
        <v>20084.05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843104.66</v>
      </c>
      <c r="G202" s="18">
        <v>408605.51</v>
      </c>
      <c r="H202" s="18">
        <v>528530.18999999994</v>
      </c>
      <c r="I202" s="18">
        <v>4143.6499999999996</v>
      </c>
      <c r="J202" s="18">
        <v>340</v>
      </c>
      <c r="K202" s="18">
        <v>0</v>
      </c>
      <c r="L202" s="19">
        <f t="shared" ref="L202:L208" si="0">SUM(F202:K202)</f>
        <v>1784724.0099999998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139918.78</v>
      </c>
      <c r="G203" s="18">
        <v>85915.75</v>
      </c>
      <c r="H203" s="18">
        <v>585</v>
      </c>
      <c r="I203" s="18">
        <v>16372.43</v>
      </c>
      <c r="J203" s="18">
        <v>0</v>
      </c>
      <c r="K203" s="18">
        <v>0</v>
      </c>
      <c r="L203" s="19">
        <f t="shared" si="0"/>
        <v>242791.96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4364.8</v>
      </c>
      <c r="G204" s="18">
        <v>345.81</v>
      </c>
      <c r="H204" s="18">
        <v>634305.99</v>
      </c>
      <c r="I204" s="18">
        <v>107.95</v>
      </c>
      <c r="J204" s="18">
        <v>0</v>
      </c>
      <c r="K204" s="18">
        <v>2759.37</v>
      </c>
      <c r="L204" s="19">
        <f t="shared" si="0"/>
        <v>641883.91999999993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404364.98</v>
      </c>
      <c r="G205" s="18">
        <v>201441.29</v>
      </c>
      <c r="H205" s="18">
        <v>18020.68</v>
      </c>
      <c r="I205" s="18">
        <v>9771.3799999999992</v>
      </c>
      <c r="J205" s="18">
        <v>6294.52</v>
      </c>
      <c r="K205" s="18">
        <v>1545</v>
      </c>
      <c r="L205" s="19">
        <f t="shared" si="0"/>
        <v>641437.85000000009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90</v>
      </c>
      <c r="I206" s="18">
        <v>0</v>
      </c>
      <c r="J206" s="18">
        <v>0</v>
      </c>
      <c r="K206" s="18">
        <v>0</v>
      </c>
      <c r="L206" s="19">
        <f t="shared" si="0"/>
        <v>90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216870.59</v>
      </c>
      <c r="G207" s="18">
        <v>108848.58</v>
      </c>
      <c r="H207" s="18">
        <v>134979.54999999999</v>
      </c>
      <c r="I207" s="18">
        <v>140992.29</v>
      </c>
      <c r="J207" s="18">
        <v>5932.81</v>
      </c>
      <c r="K207" s="18">
        <v>99.5</v>
      </c>
      <c r="L207" s="19">
        <f t="shared" si="0"/>
        <v>607723.32000000007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680100.08</v>
      </c>
      <c r="I208" s="18">
        <v>0</v>
      </c>
      <c r="J208" s="18">
        <v>0</v>
      </c>
      <c r="K208" s="18">
        <v>0</v>
      </c>
      <c r="L208" s="19">
        <f t="shared" si="0"/>
        <v>680100.08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64295</v>
      </c>
      <c r="G209" s="18">
        <v>37362.47</v>
      </c>
      <c r="H209" s="18">
        <v>11490.65</v>
      </c>
      <c r="I209" s="18">
        <v>17195.12</v>
      </c>
      <c r="J209" s="18">
        <v>30477.94</v>
      </c>
      <c r="K209" s="18">
        <v>0</v>
      </c>
      <c r="L209" s="19">
        <f>SUM(F209:K209)</f>
        <v>160821.18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5826746.209999999</v>
      </c>
      <c r="G211" s="41">
        <f t="shared" si="1"/>
        <v>2888846.2800000003</v>
      </c>
      <c r="H211" s="41">
        <f t="shared" si="1"/>
        <v>2191667.6399999997</v>
      </c>
      <c r="I211" s="41">
        <f t="shared" si="1"/>
        <v>384529.31</v>
      </c>
      <c r="J211" s="41">
        <f t="shared" si="1"/>
        <v>171706.75</v>
      </c>
      <c r="K211" s="41">
        <f t="shared" si="1"/>
        <v>4946.37</v>
      </c>
      <c r="L211" s="41">
        <f t="shared" si="1"/>
        <v>11468442.560000001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3513483.59</v>
      </c>
      <c r="G215" s="18">
        <v>1514914.09</v>
      </c>
      <c r="H215" s="18">
        <v>9720.2000000000007</v>
      </c>
      <c r="I215" s="18">
        <v>108323.21</v>
      </c>
      <c r="J215" s="18">
        <v>180070.39999999999</v>
      </c>
      <c r="K215" s="18">
        <v>420</v>
      </c>
      <c r="L215" s="19">
        <f>SUM(F215:K215)</f>
        <v>5326931.49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1136494.81</v>
      </c>
      <c r="G216" s="18">
        <v>737442.82</v>
      </c>
      <c r="H216" s="18">
        <v>102355.16</v>
      </c>
      <c r="I216" s="18">
        <v>8494.26</v>
      </c>
      <c r="J216" s="18">
        <v>6289.31</v>
      </c>
      <c r="K216" s="18">
        <v>150</v>
      </c>
      <c r="L216" s="19">
        <f>SUM(F216:K216)</f>
        <v>1991226.3599999999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93013</v>
      </c>
      <c r="G218" s="18">
        <v>15087.58</v>
      </c>
      <c r="H218" s="18">
        <v>13261.31</v>
      </c>
      <c r="I218" s="18">
        <v>7341.05</v>
      </c>
      <c r="J218" s="18">
        <v>0</v>
      </c>
      <c r="K218" s="18">
        <v>1647</v>
      </c>
      <c r="L218" s="19">
        <f>SUM(F218:K218)</f>
        <v>130349.94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680894.37</v>
      </c>
      <c r="G220" s="18">
        <v>330458.31</v>
      </c>
      <c r="H220" s="18">
        <v>151892.76999999999</v>
      </c>
      <c r="I220" s="18">
        <v>5194.1899999999996</v>
      </c>
      <c r="J220" s="18">
        <v>0</v>
      </c>
      <c r="K220" s="18">
        <v>0</v>
      </c>
      <c r="L220" s="19">
        <f t="shared" ref="L220:L226" si="2">SUM(F220:K220)</f>
        <v>1168439.6399999999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109430.11</v>
      </c>
      <c r="G221" s="18">
        <v>90243.9</v>
      </c>
      <c r="H221" s="18">
        <v>6606.7</v>
      </c>
      <c r="I221" s="18">
        <v>11572.35</v>
      </c>
      <c r="J221" s="18">
        <v>0</v>
      </c>
      <c r="K221" s="18">
        <v>0</v>
      </c>
      <c r="L221" s="19">
        <f t="shared" si="2"/>
        <v>217853.06000000003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4364.79</v>
      </c>
      <c r="G222" s="18">
        <v>345.81</v>
      </c>
      <c r="H222" s="18">
        <v>616858.81000000006</v>
      </c>
      <c r="I222" s="18">
        <v>107.95</v>
      </c>
      <c r="J222" s="18">
        <v>0</v>
      </c>
      <c r="K222" s="18">
        <v>2759.37</v>
      </c>
      <c r="L222" s="19">
        <f t="shared" si="2"/>
        <v>624436.73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373582.64</v>
      </c>
      <c r="G223" s="18">
        <v>204953.34</v>
      </c>
      <c r="H223" s="18">
        <v>23890.080000000002</v>
      </c>
      <c r="I223" s="18">
        <v>25340.81</v>
      </c>
      <c r="J223" s="18">
        <v>20431.34</v>
      </c>
      <c r="K223" s="18">
        <v>2730</v>
      </c>
      <c r="L223" s="19">
        <f t="shared" si="2"/>
        <v>650928.21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420</v>
      </c>
      <c r="I224" s="18">
        <v>0</v>
      </c>
      <c r="J224" s="18">
        <v>0</v>
      </c>
      <c r="K224" s="18">
        <v>0</v>
      </c>
      <c r="L224" s="19">
        <f t="shared" si="2"/>
        <v>420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235456.74</v>
      </c>
      <c r="G225" s="18">
        <v>126957.4</v>
      </c>
      <c r="H225" s="18">
        <v>272524.36</v>
      </c>
      <c r="I225" s="18">
        <v>165937.23000000001</v>
      </c>
      <c r="J225" s="18">
        <v>3443.17</v>
      </c>
      <c r="K225" s="18">
        <v>0</v>
      </c>
      <c r="L225" s="19">
        <f t="shared" si="2"/>
        <v>804318.9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333401.96999999997</v>
      </c>
      <c r="I226" s="18">
        <v>0</v>
      </c>
      <c r="J226" s="18">
        <v>0</v>
      </c>
      <c r="K226" s="18">
        <v>0</v>
      </c>
      <c r="L226" s="19">
        <f t="shared" si="2"/>
        <v>333401.96999999997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125103</v>
      </c>
      <c r="G227" s="18">
        <v>52117.16</v>
      </c>
      <c r="H227" s="18">
        <v>11840.29</v>
      </c>
      <c r="I227" s="18">
        <v>22047.54</v>
      </c>
      <c r="J227" s="18">
        <v>27752.44</v>
      </c>
      <c r="K227" s="18">
        <v>0</v>
      </c>
      <c r="L227" s="19">
        <f>SUM(F227:K227)</f>
        <v>238860.43000000002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6271823.0500000007</v>
      </c>
      <c r="G229" s="41">
        <f>SUM(G215:G228)</f>
        <v>3072520.41</v>
      </c>
      <c r="H229" s="41">
        <f>SUM(H215:H228)</f>
        <v>1542771.6500000001</v>
      </c>
      <c r="I229" s="41">
        <f>SUM(I215:I228)</f>
        <v>354358.59</v>
      </c>
      <c r="J229" s="41">
        <f>SUM(J215:J228)</f>
        <v>237986.66</v>
      </c>
      <c r="K229" s="41">
        <f t="shared" si="3"/>
        <v>7706.37</v>
      </c>
      <c r="L229" s="41">
        <f t="shared" si="3"/>
        <v>11487166.73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16590</v>
      </c>
      <c r="K255" s="18">
        <v>0</v>
      </c>
      <c r="L255" s="19">
        <f t="shared" si="6"/>
        <v>16590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16590</v>
      </c>
      <c r="K256" s="41">
        <f t="shared" si="7"/>
        <v>0</v>
      </c>
      <c r="L256" s="41">
        <f>SUM(F256:K256)</f>
        <v>16590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12098569.26</v>
      </c>
      <c r="G257" s="41">
        <f t="shared" si="8"/>
        <v>5961366.6900000004</v>
      </c>
      <c r="H257" s="41">
        <f t="shared" si="8"/>
        <v>3734439.29</v>
      </c>
      <c r="I257" s="41">
        <f t="shared" si="8"/>
        <v>738887.9</v>
      </c>
      <c r="J257" s="41">
        <f t="shared" si="8"/>
        <v>426283.41000000003</v>
      </c>
      <c r="K257" s="41">
        <f t="shared" si="8"/>
        <v>12652.74</v>
      </c>
      <c r="L257" s="41">
        <f t="shared" si="8"/>
        <v>22972199.289999999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390000</v>
      </c>
      <c r="L260" s="19">
        <f>SUM(F260:K260)</f>
        <v>390000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157375.01</v>
      </c>
      <c r="L261" s="19">
        <f>SUM(F261:K261)</f>
        <v>157375.01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23987.51</v>
      </c>
      <c r="L263" s="19">
        <f>SUM(F263:K263)</f>
        <v>23987.51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50000</v>
      </c>
      <c r="L266" s="19">
        <f t="shared" si="9"/>
        <v>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621362.52</v>
      </c>
      <c r="L270" s="41">
        <f t="shared" si="9"/>
        <v>621362.52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12098569.26</v>
      </c>
      <c r="G271" s="42">
        <f t="shared" si="11"/>
        <v>5961366.6900000004</v>
      </c>
      <c r="H271" s="42">
        <f t="shared" si="11"/>
        <v>3734439.29</v>
      </c>
      <c r="I271" s="42">
        <f t="shared" si="11"/>
        <v>738887.9</v>
      </c>
      <c r="J271" s="42">
        <f t="shared" si="11"/>
        <v>426283.41000000003</v>
      </c>
      <c r="K271" s="42">
        <f t="shared" si="11"/>
        <v>634015.26</v>
      </c>
      <c r="L271" s="42">
        <f t="shared" si="11"/>
        <v>23593561.809999999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15300</v>
      </c>
      <c r="G276" s="18">
        <v>3150.96</v>
      </c>
      <c r="H276" s="18">
        <v>0</v>
      </c>
      <c r="I276" s="18">
        <v>0</v>
      </c>
      <c r="J276" s="18">
        <v>0</v>
      </c>
      <c r="K276" s="18">
        <v>0</v>
      </c>
      <c r="L276" s="19">
        <f>SUM(F276:K276)</f>
        <v>18450.96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93189.75</v>
      </c>
      <c r="G277" s="18">
        <v>19344.560000000001</v>
      </c>
      <c r="H277" s="18">
        <v>250</v>
      </c>
      <c r="I277" s="18">
        <v>323.75</v>
      </c>
      <c r="J277" s="18">
        <v>4260</v>
      </c>
      <c r="K277" s="18">
        <v>0</v>
      </c>
      <c r="L277" s="19">
        <f>SUM(F277:K277)</f>
        <v>117368.06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33755.949999999997</v>
      </c>
      <c r="G282" s="18">
        <v>7768.42</v>
      </c>
      <c r="H282" s="18">
        <v>1860.48</v>
      </c>
      <c r="I282" s="18">
        <v>82.33</v>
      </c>
      <c r="J282" s="18">
        <v>0</v>
      </c>
      <c r="K282" s="18">
        <v>0</v>
      </c>
      <c r="L282" s="19">
        <f t="shared" si="12"/>
        <v>43467.18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2455.5700000000002</v>
      </c>
      <c r="I288" s="18">
        <v>0</v>
      </c>
      <c r="J288" s="18">
        <v>0</v>
      </c>
      <c r="K288" s="18">
        <v>0</v>
      </c>
      <c r="L288" s="19">
        <f>SUM(F288:K288)</f>
        <v>2455.5700000000002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142245.70000000001</v>
      </c>
      <c r="G290" s="42">
        <f t="shared" si="13"/>
        <v>30263.940000000002</v>
      </c>
      <c r="H290" s="42">
        <f t="shared" si="13"/>
        <v>4566.05</v>
      </c>
      <c r="I290" s="42">
        <f t="shared" si="13"/>
        <v>406.08</v>
      </c>
      <c r="J290" s="42">
        <f t="shared" si="13"/>
        <v>4260</v>
      </c>
      <c r="K290" s="42">
        <f t="shared" si="13"/>
        <v>0</v>
      </c>
      <c r="L290" s="41">
        <f t="shared" si="13"/>
        <v>181741.77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12900</v>
      </c>
      <c r="G295" s="18">
        <v>2655.34</v>
      </c>
      <c r="H295" s="18">
        <v>0</v>
      </c>
      <c r="I295" s="18">
        <v>3144.84</v>
      </c>
      <c r="J295" s="18">
        <v>0</v>
      </c>
      <c r="K295" s="18">
        <v>0</v>
      </c>
      <c r="L295" s="19">
        <f>SUM(F295:K295)</f>
        <v>18700.18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123174.64</v>
      </c>
      <c r="G296" s="18">
        <v>26459.94</v>
      </c>
      <c r="H296" s="18">
        <v>0</v>
      </c>
      <c r="I296" s="18">
        <v>0</v>
      </c>
      <c r="J296" s="18">
        <v>0</v>
      </c>
      <c r="K296" s="18">
        <v>0</v>
      </c>
      <c r="L296" s="19">
        <f>SUM(F296:K296)</f>
        <v>149634.57999999999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13823.6</v>
      </c>
      <c r="G301" s="18">
        <v>3221.66</v>
      </c>
      <c r="H301" s="18">
        <v>2515.2199999999998</v>
      </c>
      <c r="I301" s="18">
        <v>82.34</v>
      </c>
      <c r="J301" s="18">
        <v>0</v>
      </c>
      <c r="K301" s="18">
        <v>0</v>
      </c>
      <c r="L301" s="19">
        <f t="shared" si="14"/>
        <v>19642.820000000003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2455.5700000000002</v>
      </c>
      <c r="I307" s="18">
        <v>0</v>
      </c>
      <c r="J307" s="18">
        <v>0</v>
      </c>
      <c r="K307" s="18">
        <v>0</v>
      </c>
      <c r="L307" s="19">
        <f>SUM(F307:K307)</f>
        <v>2455.5700000000002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149898.24000000002</v>
      </c>
      <c r="G309" s="42">
        <f t="shared" si="15"/>
        <v>32336.94</v>
      </c>
      <c r="H309" s="42">
        <f t="shared" si="15"/>
        <v>4970.79</v>
      </c>
      <c r="I309" s="42">
        <f t="shared" si="15"/>
        <v>3227.1800000000003</v>
      </c>
      <c r="J309" s="42">
        <f t="shared" si="15"/>
        <v>0</v>
      </c>
      <c r="K309" s="42">
        <f t="shared" si="15"/>
        <v>0</v>
      </c>
      <c r="L309" s="41">
        <f t="shared" si="15"/>
        <v>190433.15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292143.94000000006</v>
      </c>
      <c r="G338" s="41">
        <f t="shared" si="20"/>
        <v>62600.880000000005</v>
      </c>
      <c r="H338" s="41">
        <f t="shared" si="20"/>
        <v>9536.84</v>
      </c>
      <c r="I338" s="41">
        <f t="shared" si="20"/>
        <v>3633.26</v>
      </c>
      <c r="J338" s="41">
        <f t="shared" si="20"/>
        <v>4260</v>
      </c>
      <c r="K338" s="41">
        <f t="shared" si="20"/>
        <v>0</v>
      </c>
      <c r="L338" s="41">
        <f t="shared" si="20"/>
        <v>372174.92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292143.94000000006</v>
      </c>
      <c r="G352" s="41">
        <f>G338</f>
        <v>62600.880000000005</v>
      </c>
      <c r="H352" s="41">
        <f>H338</f>
        <v>9536.84</v>
      </c>
      <c r="I352" s="41">
        <f>I338</f>
        <v>3633.26</v>
      </c>
      <c r="J352" s="41">
        <f>J338</f>
        <v>4260</v>
      </c>
      <c r="K352" s="47">
        <f>K338+K351</f>
        <v>0</v>
      </c>
      <c r="L352" s="41">
        <f>L338+L351</f>
        <v>372174.92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49186.65</v>
      </c>
      <c r="G358" s="18">
        <v>46634.82</v>
      </c>
      <c r="H358" s="18">
        <v>3877.87</v>
      </c>
      <c r="I358" s="18">
        <v>43669.919999999998</v>
      </c>
      <c r="J358" s="18">
        <v>0</v>
      </c>
      <c r="K358" s="18">
        <v>124.65</v>
      </c>
      <c r="L358" s="13">
        <f>SUM(F358:K358)</f>
        <v>143493.91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116513.18</v>
      </c>
      <c r="G359" s="18">
        <v>77812.240000000005</v>
      </c>
      <c r="H359" s="18">
        <v>2599.0300000000002</v>
      </c>
      <c r="I359" s="18">
        <v>81743.91</v>
      </c>
      <c r="J359" s="18">
        <v>0</v>
      </c>
      <c r="K359" s="18">
        <v>124.65</v>
      </c>
      <c r="L359" s="19">
        <f>SUM(F359:K359)</f>
        <v>278793.01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165699.82999999999</v>
      </c>
      <c r="G362" s="47">
        <f t="shared" si="22"/>
        <v>124447.06</v>
      </c>
      <c r="H362" s="47">
        <f t="shared" si="22"/>
        <v>6476.9</v>
      </c>
      <c r="I362" s="47">
        <f t="shared" si="22"/>
        <v>125413.83</v>
      </c>
      <c r="J362" s="47">
        <f t="shared" si="22"/>
        <v>0</v>
      </c>
      <c r="K362" s="47">
        <f t="shared" si="22"/>
        <v>249.3</v>
      </c>
      <c r="L362" s="47">
        <f t="shared" si="22"/>
        <v>422286.92000000004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40722.06</v>
      </c>
      <c r="G367" s="18">
        <v>76848.399999999994</v>
      </c>
      <c r="H367" s="18"/>
      <c r="I367" s="56">
        <f>SUM(F367:H367)</f>
        <v>117570.45999999999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2947.86</v>
      </c>
      <c r="G368" s="63">
        <v>4895.51</v>
      </c>
      <c r="H368" s="63"/>
      <c r="I368" s="56">
        <f>SUM(F368:H368)</f>
        <v>7843.3700000000008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43669.919999999998</v>
      </c>
      <c r="G369" s="47">
        <f>SUM(G367:G368)</f>
        <v>81743.909999999989</v>
      </c>
      <c r="H369" s="47">
        <f>SUM(H367:H368)</f>
        <v>0</v>
      </c>
      <c r="I369" s="47">
        <f>SUM(I367:I368)</f>
        <v>125413.82999999999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50000</v>
      </c>
      <c r="H396" s="18">
        <v>245.08</v>
      </c>
      <c r="I396" s="18"/>
      <c r="J396" s="24" t="s">
        <v>289</v>
      </c>
      <c r="K396" s="24" t="s">
        <v>289</v>
      </c>
      <c r="L396" s="56">
        <f t="shared" si="26"/>
        <v>50245.08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235.92</v>
      </c>
      <c r="I397" s="18"/>
      <c r="J397" s="24" t="s">
        <v>289</v>
      </c>
      <c r="K397" s="24" t="s">
        <v>289</v>
      </c>
      <c r="L397" s="56">
        <f t="shared" si="26"/>
        <v>235.92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481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50481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 t="s">
        <v>913</v>
      </c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>
        <v>3519.52</v>
      </c>
      <c r="J403" s="24" t="s">
        <v>289</v>
      </c>
      <c r="K403" s="24" t="s">
        <v>289</v>
      </c>
      <c r="L403" s="56">
        <f>SUM(F403:K403)</f>
        <v>3519.52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3519.52</v>
      </c>
      <c r="J407" s="49" t="s">
        <v>289</v>
      </c>
      <c r="K407" s="49" t="s">
        <v>289</v>
      </c>
      <c r="L407" s="47">
        <f>SUM(L403:L406)</f>
        <v>3519.52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481</v>
      </c>
      <c r="I408" s="47">
        <f>I393+I401+I407</f>
        <v>3519.52</v>
      </c>
      <c r="J408" s="24" t="s">
        <v>289</v>
      </c>
      <c r="K408" s="24" t="s">
        <v>289</v>
      </c>
      <c r="L408" s="47">
        <f>L393+L401+L407</f>
        <v>54000.52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>
        <v>50000</v>
      </c>
      <c r="I418" s="18"/>
      <c r="J418" s="18"/>
      <c r="K418" s="18"/>
      <c r="L418" s="56">
        <f t="shared" si="27"/>
        <v>50000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50000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50000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913</v>
      </c>
      <c r="B429" s="6">
        <v>17</v>
      </c>
      <c r="C429" s="6">
        <v>15</v>
      </c>
      <c r="D429" s="2" t="s">
        <v>433</v>
      </c>
      <c r="E429" s="6"/>
      <c r="F429" s="18">
        <v>2850</v>
      </c>
      <c r="G429" s="18">
        <f>170.6+39.91+446.59+12.42</f>
        <v>669.51999999999987</v>
      </c>
      <c r="H429" s="18"/>
      <c r="I429" s="18"/>
      <c r="J429" s="18"/>
      <c r="K429" s="18"/>
      <c r="L429" s="56">
        <f>SUM(F429:K429)</f>
        <v>3519.52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2850</v>
      </c>
      <c r="G433" s="47">
        <f t="shared" si="31"/>
        <v>669.51999999999987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3519.52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2850</v>
      </c>
      <c r="G434" s="47">
        <f t="shared" si="32"/>
        <v>669.51999999999987</v>
      </c>
      <c r="H434" s="47">
        <f t="shared" si="32"/>
        <v>50000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53519.519999999997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>
        <f>56763.16+17784.06+1060.54</f>
        <v>75607.759999999995</v>
      </c>
      <c r="I439" s="56">
        <f t="shared" ref="I439:I445" si="33">SUM(F439:H439)</f>
        <v>75607.759999999995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4"/>
      <c r="G442" s="18">
        <f>50000+47576.98+100291.02</f>
        <v>197868</v>
      </c>
      <c r="H442" s="18">
        <v>609.52</v>
      </c>
      <c r="I442" s="56">
        <f>SUM(G442:H442)</f>
        <v>198477.52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197868</v>
      </c>
      <c r="H446" s="13">
        <f>SUM(H439:H445)</f>
        <v>76217.279999999999</v>
      </c>
      <c r="I446" s="13">
        <f>SUM(I439:I445)</f>
        <v>274085.27999999997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4"/>
      <c r="G448" s="18">
        <v>50000</v>
      </c>
      <c r="H448" s="18">
        <v>609.52</v>
      </c>
      <c r="I448" s="56">
        <f>SUM(G448:H448)</f>
        <v>50609.52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>
        <v>75607.759999999995</v>
      </c>
      <c r="I451" s="56">
        <f>SUM(F451:H451)</f>
        <v>75607.759999999995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50000</v>
      </c>
      <c r="H452" s="72">
        <f>SUM(H448:H451)</f>
        <v>76217.279999999999</v>
      </c>
      <c r="I452" s="72">
        <f>SUM(I448:I451)</f>
        <v>126217.28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8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275"/>
      <c r="G459" s="18">
        <v>147868</v>
      </c>
      <c r="H459" s="18"/>
      <c r="I459" s="56">
        <f>SUM(G459:H459)</f>
        <v>147868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147868</v>
      </c>
      <c r="H460" s="83">
        <f>SUM(H454:H459)</f>
        <v>0</v>
      </c>
      <c r="I460" s="83">
        <f>SUM(I454:I459)</f>
        <v>147868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197868</v>
      </c>
      <c r="H461" s="42">
        <f>H452+H460</f>
        <v>76217.279999999999</v>
      </c>
      <c r="I461" s="42">
        <f>I452+I460</f>
        <v>274085.28000000003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982821.42</v>
      </c>
      <c r="G465" s="18">
        <v>0</v>
      </c>
      <c r="H465" s="18">
        <v>0</v>
      </c>
      <c r="I465" s="18">
        <v>30.97</v>
      </c>
      <c r="J465" s="18">
        <v>147387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22880007.129999999</v>
      </c>
      <c r="G468" s="18">
        <f t="shared" ref="G468:J468" si="35">G193</f>
        <v>422286.92</v>
      </c>
      <c r="H468" s="18">
        <f t="shared" si="35"/>
        <v>372174.92000000004</v>
      </c>
      <c r="I468" s="18">
        <f t="shared" si="35"/>
        <v>0.02</v>
      </c>
      <c r="J468" s="18">
        <f t="shared" si="35"/>
        <v>54000.52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22880007.129999999</v>
      </c>
      <c r="G470" s="53">
        <f>SUM(G468:G469)</f>
        <v>422286.92</v>
      </c>
      <c r="H470" s="53">
        <f>SUM(H468:H469)</f>
        <v>372174.92000000004</v>
      </c>
      <c r="I470" s="53">
        <f>SUM(I468:I469)</f>
        <v>0.02</v>
      </c>
      <c r="J470" s="53">
        <f>SUM(J468:J469)</f>
        <v>54000.52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23593561.809999999</v>
      </c>
      <c r="G472" s="18">
        <f>L362</f>
        <v>422286.92000000004</v>
      </c>
      <c r="H472" s="18">
        <f>L352</f>
        <v>372174.92</v>
      </c>
      <c r="I472" s="18"/>
      <c r="J472" s="18">
        <f>L434</f>
        <v>53519.519999999997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23593561.809999999</v>
      </c>
      <c r="G474" s="53">
        <f>SUM(G472:G473)</f>
        <v>422286.92000000004</v>
      </c>
      <c r="H474" s="53">
        <f>SUM(H472:H473)</f>
        <v>372174.92</v>
      </c>
      <c r="I474" s="53">
        <f>SUM(I472:I473)</f>
        <v>0</v>
      </c>
      <c r="J474" s="53">
        <f>SUM(J472:J473)</f>
        <v>53519.519999999997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269266.74000000209</v>
      </c>
      <c r="G476" s="53">
        <f>(G465+G470)- G474</f>
        <v>0</v>
      </c>
      <c r="H476" s="53">
        <f>(H465+H470)- H474</f>
        <v>0</v>
      </c>
      <c r="I476" s="53">
        <f>(I465+I470)- I474</f>
        <v>30.99</v>
      </c>
      <c r="J476" s="53">
        <f>(J465+J470)- J474</f>
        <v>147868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914</v>
      </c>
      <c r="G491" s="155" t="s">
        <v>915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916</v>
      </c>
      <c r="G492" s="155" t="s">
        <v>917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1717000</v>
      </c>
      <c r="G493" s="18">
        <v>3883620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1.62</v>
      </c>
      <c r="G494" s="18">
        <v>4.24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1300000</v>
      </c>
      <c r="G495" s="18">
        <v>2910000</v>
      </c>
      <c r="H495" s="18"/>
      <c r="I495" s="18"/>
      <c r="J495" s="18"/>
      <c r="K495" s="53">
        <f>SUM(F495:J495)</f>
        <v>4210000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6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195000</v>
      </c>
      <c r="G497" s="18">
        <v>195000</v>
      </c>
      <c r="H497" s="18"/>
      <c r="I497" s="18"/>
      <c r="J497" s="18"/>
      <c r="K497" s="53">
        <f t="shared" si="36"/>
        <v>390000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1300000-195000</f>
        <v>1105000</v>
      </c>
      <c r="G498" s="204">
        <f>2910000-195000</f>
        <v>2715000</v>
      </c>
      <c r="H498" s="204"/>
      <c r="I498" s="204"/>
      <c r="J498" s="204"/>
      <c r="K498" s="205">
        <f t="shared" si="36"/>
        <v>3820000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181475-21425-19425-36900</f>
        <v>103725</v>
      </c>
      <c r="G499" s="18">
        <f>971815.73-67915.63+-62796.88-120475.01</f>
        <v>720628.21</v>
      </c>
      <c r="H499" s="18"/>
      <c r="I499" s="18"/>
      <c r="J499" s="18"/>
      <c r="K499" s="53">
        <f t="shared" si="36"/>
        <v>824353.21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1208725</v>
      </c>
      <c r="G500" s="42">
        <f>SUM(G498:G499)</f>
        <v>3435628.21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4644353.21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195000</v>
      </c>
      <c r="G501" s="204">
        <v>195000</v>
      </c>
      <c r="H501" s="204"/>
      <c r="I501" s="204"/>
      <c r="J501" s="204"/>
      <c r="K501" s="205">
        <f t="shared" si="36"/>
        <v>390000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32025</v>
      </c>
      <c r="G502" s="18">
        <v>110237.51</v>
      </c>
      <c r="H502" s="18"/>
      <c r="I502" s="18"/>
      <c r="J502" s="18"/>
      <c r="K502" s="53">
        <f t="shared" si="36"/>
        <v>142262.51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227025</v>
      </c>
      <c r="G503" s="42">
        <f>SUM(G501:G502)</f>
        <v>305237.51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532262.51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1297278.33</v>
      </c>
      <c r="G521" s="18">
        <v>775664.58</v>
      </c>
      <c r="H521" s="18">
        <v>159135</v>
      </c>
      <c r="I521" s="18">
        <v>9224.2800000000007</v>
      </c>
      <c r="J521" s="18">
        <v>9283.5400000000009</v>
      </c>
      <c r="K521" s="18">
        <v>0</v>
      </c>
      <c r="L521" s="88">
        <f>SUM(F521:K521)</f>
        <v>2250585.73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1259669.45</v>
      </c>
      <c r="G522" s="18">
        <v>763902.76</v>
      </c>
      <c r="H522" s="18">
        <v>102355.16</v>
      </c>
      <c r="I522" s="18">
        <v>8494.26</v>
      </c>
      <c r="J522" s="18">
        <v>6289.31</v>
      </c>
      <c r="K522" s="18">
        <v>150</v>
      </c>
      <c r="L522" s="88">
        <f>SUM(F522:K522)</f>
        <v>2140860.94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2556947.7800000003</v>
      </c>
      <c r="G524" s="108">
        <f t="shared" ref="G524:L524" si="37">SUM(G521:G523)</f>
        <v>1539567.3399999999</v>
      </c>
      <c r="H524" s="108">
        <f t="shared" si="37"/>
        <v>261490.16</v>
      </c>
      <c r="I524" s="108">
        <f t="shared" si="37"/>
        <v>17718.54</v>
      </c>
      <c r="J524" s="108">
        <f t="shared" si="37"/>
        <v>15572.850000000002</v>
      </c>
      <c r="K524" s="108">
        <f t="shared" si="37"/>
        <v>150</v>
      </c>
      <c r="L524" s="89">
        <f t="shared" si="37"/>
        <v>4391446.67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447070.92</v>
      </c>
      <c r="G526" s="18">
        <v>226724.04</v>
      </c>
      <c r="H526" s="18">
        <v>520238.69</v>
      </c>
      <c r="I526" s="18">
        <v>114.5</v>
      </c>
      <c r="J526" s="18">
        <v>0</v>
      </c>
      <c r="K526" s="18">
        <v>0</v>
      </c>
      <c r="L526" s="88">
        <f>SUM(F526:K526)</f>
        <v>1194148.1499999999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264412.75</v>
      </c>
      <c r="G527" s="18">
        <v>145047.67000000001</v>
      </c>
      <c r="H527" s="18">
        <v>102549.22</v>
      </c>
      <c r="I527" s="18">
        <v>1443.59</v>
      </c>
      <c r="J527" s="18">
        <v>0</v>
      </c>
      <c r="K527" s="18">
        <v>0</v>
      </c>
      <c r="L527" s="88">
        <f>SUM(F527:K527)</f>
        <v>513453.23000000004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711483.66999999993</v>
      </c>
      <c r="G529" s="89">
        <f t="shared" ref="G529:L529" si="38">SUM(G526:G528)</f>
        <v>371771.71</v>
      </c>
      <c r="H529" s="89">
        <f t="shared" si="38"/>
        <v>622787.91</v>
      </c>
      <c r="I529" s="89">
        <f t="shared" si="38"/>
        <v>1558.09</v>
      </c>
      <c r="J529" s="89">
        <f t="shared" si="38"/>
        <v>0</v>
      </c>
      <c r="K529" s="89">
        <f t="shared" si="38"/>
        <v>0</v>
      </c>
      <c r="L529" s="89">
        <f t="shared" si="38"/>
        <v>1707601.38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16973.46</v>
      </c>
      <c r="I531" s="18"/>
      <c r="J531" s="18"/>
      <c r="K531" s="18"/>
      <c r="L531" s="88">
        <f>SUM(F531:K531)</f>
        <v>16973.46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>
        <v>864.78</v>
      </c>
      <c r="I532" s="18"/>
      <c r="J532" s="18"/>
      <c r="K532" s="18"/>
      <c r="L532" s="88">
        <f>SUM(F532:K532)</f>
        <v>864.78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9">SUM(G531:G533)</f>
        <v>0</v>
      </c>
      <c r="H534" s="89">
        <f t="shared" si="39"/>
        <v>17838.239999999998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17838.239999999998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1338.5</v>
      </c>
      <c r="I536" s="18"/>
      <c r="J536" s="18"/>
      <c r="K536" s="18"/>
      <c r="L536" s="88">
        <f>SUM(F536:K536)</f>
        <v>1338.5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0</v>
      </c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1338.5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1338.5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270597</v>
      </c>
      <c r="I541" s="18"/>
      <c r="J541" s="18"/>
      <c r="K541" s="18"/>
      <c r="L541" s="88">
        <f>SUM(F541:K541)</f>
        <v>270597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85500</v>
      </c>
      <c r="I542" s="18"/>
      <c r="J542" s="18"/>
      <c r="K542" s="18"/>
      <c r="L542" s="88">
        <f>SUM(F542:K542)</f>
        <v>85500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356097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356097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3268431.45</v>
      </c>
      <c r="G545" s="89">
        <f t="shared" ref="G545:L545" si="42">G524+G529+G534+G539+G544</f>
        <v>1911339.0499999998</v>
      </c>
      <c r="H545" s="89">
        <f t="shared" si="42"/>
        <v>1259551.81</v>
      </c>
      <c r="I545" s="89">
        <f t="shared" si="42"/>
        <v>19276.63</v>
      </c>
      <c r="J545" s="89">
        <f t="shared" si="42"/>
        <v>15572.850000000002</v>
      </c>
      <c r="K545" s="89">
        <f t="shared" si="42"/>
        <v>150</v>
      </c>
      <c r="L545" s="89">
        <f t="shared" si="42"/>
        <v>6474321.79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2250585.73</v>
      </c>
      <c r="G549" s="87">
        <f>L526</f>
        <v>1194148.1499999999</v>
      </c>
      <c r="H549" s="87">
        <f>L531</f>
        <v>16973.46</v>
      </c>
      <c r="I549" s="87">
        <f>L536</f>
        <v>1338.5</v>
      </c>
      <c r="J549" s="87">
        <f>L541</f>
        <v>270597</v>
      </c>
      <c r="K549" s="87">
        <f>SUM(F549:J549)</f>
        <v>3733642.84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2140860.94</v>
      </c>
      <c r="G550" s="87">
        <f>L527</f>
        <v>513453.23000000004</v>
      </c>
      <c r="H550" s="87">
        <f>L532</f>
        <v>864.78</v>
      </c>
      <c r="I550" s="87">
        <f>L537</f>
        <v>0</v>
      </c>
      <c r="J550" s="87">
        <f>L542</f>
        <v>85500</v>
      </c>
      <c r="K550" s="87">
        <f>SUM(F550:J550)</f>
        <v>2740678.9499999997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4391446.67</v>
      </c>
      <c r="G552" s="89">
        <f t="shared" si="43"/>
        <v>1707601.38</v>
      </c>
      <c r="H552" s="89">
        <f t="shared" si="43"/>
        <v>17838.239999999998</v>
      </c>
      <c r="I552" s="89">
        <f t="shared" si="43"/>
        <v>1338.5</v>
      </c>
      <c r="J552" s="89">
        <f t="shared" si="43"/>
        <v>356097</v>
      </c>
      <c r="K552" s="89">
        <f t="shared" si="43"/>
        <v>6474321.7899999991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29931.75</v>
      </c>
      <c r="G579" s="18">
        <v>0</v>
      </c>
      <c r="H579" s="18"/>
      <c r="I579" s="87">
        <f t="shared" si="48"/>
        <v>29931.75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57714</v>
      </c>
      <c r="G582" s="18">
        <v>101880.16</v>
      </c>
      <c r="H582" s="18"/>
      <c r="I582" s="87">
        <f t="shared" si="48"/>
        <v>159594.16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408729.97</v>
      </c>
      <c r="I591" s="18">
        <v>229656.93</v>
      </c>
      <c r="J591" s="18"/>
      <c r="K591" s="104">
        <f t="shared" ref="K591:K597" si="49">SUM(H591:J591)</f>
        <v>638386.89999999991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270597</v>
      </c>
      <c r="I592" s="18">
        <v>85500</v>
      </c>
      <c r="J592" s="18"/>
      <c r="K592" s="104">
        <f t="shared" si="49"/>
        <v>356097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18245.04</v>
      </c>
      <c r="J594" s="18"/>
      <c r="K594" s="104">
        <f t="shared" si="49"/>
        <v>18245.04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773.11</v>
      </c>
      <c r="I595" s="18"/>
      <c r="J595" s="18"/>
      <c r="K595" s="104">
        <f t="shared" si="49"/>
        <v>773.11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680100.08</v>
      </c>
      <c r="I598" s="108">
        <f>SUM(I591:I597)</f>
        <v>333401.96999999997</v>
      </c>
      <c r="J598" s="108">
        <f>SUM(J591:J597)</f>
        <v>0</v>
      </c>
      <c r="K598" s="108">
        <f>SUM(K591:K597)</f>
        <v>1013502.0499999999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171706.75+4260</f>
        <v>175966.75</v>
      </c>
      <c r="I604" s="18">
        <v>237986.66</v>
      </c>
      <c r="J604" s="18"/>
      <c r="K604" s="104">
        <f>SUM(H604:J604)</f>
        <v>413953.41000000003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175966.75</v>
      </c>
      <c r="I605" s="108">
        <f>SUM(I602:I604)</f>
        <v>237986.66</v>
      </c>
      <c r="J605" s="108">
        <f>SUM(J602:J604)</f>
        <v>0</v>
      </c>
      <c r="K605" s="108">
        <f>SUM(K602:K604)</f>
        <v>413953.41000000003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900+14400+500</f>
        <v>15800</v>
      </c>
      <c r="G611" s="18">
        <f>1170.03+100.53+1880.4+35.94+78.35</f>
        <v>3265.25</v>
      </c>
      <c r="H611" s="18"/>
      <c r="I611" s="18"/>
      <c r="J611" s="18"/>
      <c r="K611" s="18"/>
      <c r="L611" s="88">
        <f>SUM(F611:K611)</f>
        <v>19065.25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5876+3500+9400+500</f>
        <v>19276</v>
      </c>
      <c r="G612" s="18">
        <f>364.32+85.2+920.77+7.5+16.45+986.86+195.48+1473+38.25+78.35</f>
        <v>4166.18</v>
      </c>
      <c r="H612" s="18"/>
      <c r="I612" s="18">
        <f>74.69+2644.84</f>
        <v>2719.53</v>
      </c>
      <c r="J612" s="18"/>
      <c r="K612" s="18"/>
      <c r="L612" s="88">
        <f>SUM(F612:K612)</f>
        <v>26161.71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35076</v>
      </c>
      <c r="G614" s="108">
        <f t="shared" si="50"/>
        <v>7431.43</v>
      </c>
      <c r="H614" s="108">
        <f t="shared" si="50"/>
        <v>0</v>
      </c>
      <c r="I614" s="108">
        <f t="shared" si="50"/>
        <v>2719.53</v>
      </c>
      <c r="J614" s="108">
        <f t="shared" si="50"/>
        <v>0</v>
      </c>
      <c r="K614" s="108">
        <f t="shared" si="50"/>
        <v>0</v>
      </c>
      <c r="L614" s="89">
        <f t="shared" si="50"/>
        <v>45226.96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633054.44999999995</v>
      </c>
      <c r="H617" s="109">
        <f>SUM(F52)</f>
        <v>633054.44999999995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20662.34</v>
      </c>
      <c r="H618" s="109">
        <f>SUM(G52)</f>
        <v>20662.339999999997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169565.73</v>
      </c>
      <c r="H619" s="109">
        <f>SUM(H52)</f>
        <v>169565.73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30.99</v>
      </c>
      <c r="H620" s="109">
        <f>SUM(I52)</f>
        <v>30.99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274085.27999999997</v>
      </c>
      <c r="H621" s="109">
        <f>SUM(J52)</f>
        <v>274085.28000000003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269266.74</v>
      </c>
      <c r="H622" s="109">
        <f>F476</f>
        <v>269266.74000000209</v>
      </c>
      <c r="I622" s="121" t="s">
        <v>101</v>
      </c>
      <c r="J622" s="109">
        <f t="shared" ref="J622:J655" si="51">G622-H622</f>
        <v>-2.0954757928848267E-9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30.99</v>
      </c>
      <c r="H625" s="109">
        <f>I476</f>
        <v>30.99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147868</v>
      </c>
      <c r="H626" s="109">
        <f>J476</f>
        <v>147868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22880007.129999999</v>
      </c>
      <c r="H627" s="104">
        <f>SUM(F468)</f>
        <v>22880007.129999999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422286.92</v>
      </c>
      <c r="H628" s="104">
        <f>SUM(G468)</f>
        <v>422286.92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372174.92000000004</v>
      </c>
      <c r="H629" s="104">
        <f>SUM(H468)</f>
        <v>372174.92000000004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0.02</v>
      </c>
      <c r="H630" s="104">
        <f>SUM(I468)</f>
        <v>0.02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54000.52</v>
      </c>
      <c r="H631" s="104">
        <f>SUM(J468)</f>
        <v>54000.52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23593561.809999999</v>
      </c>
      <c r="H632" s="104">
        <f>SUM(F472)</f>
        <v>23593561.809999999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372174.92</v>
      </c>
      <c r="H633" s="104">
        <f>SUM(H472)</f>
        <v>372174.92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125413.83</v>
      </c>
      <c r="H634" s="104">
        <f>I369</f>
        <v>125413.82999999999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422286.92000000004</v>
      </c>
      <c r="H635" s="104">
        <f>SUM(G472)</f>
        <v>422286.92000000004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54000.52</v>
      </c>
      <c r="H637" s="164">
        <f>SUM(J468)</f>
        <v>54000.52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53519.519999999997</v>
      </c>
      <c r="H638" s="164">
        <f>SUM(J472)</f>
        <v>53519.519999999997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197868</v>
      </c>
      <c r="H640" s="104">
        <f>SUM(G461)</f>
        <v>197868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76217.279999999999</v>
      </c>
      <c r="H641" s="104">
        <f>SUM(H461)</f>
        <v>76217.279999999999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274085.27999999997</v>
      </c>
      <c r="H642" s="104">
        <f>SUM(I461)</f>
        <v>274085.28000000003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481</v>
      </c>
      <c r="H644" s="104">
        <f>H408</f>
        <v>481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50000</v>
      </c>
      <c r="H645" s="104">
        <f>G408</f>
        <v>50000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54000.52</v>
      </c>
      <c r="H646" s="104">
        <f>L408</f>
        <v>54000.52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1013502.0499999999</v>
      </c>
      <c r="H647" s="104">
        <f>L208+L226+L244</f>
        <v>1013502.0499999999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413953.41000000003</v>
      </c>
      <c r="H648" s="104">
        <f>(J257+J338)-(J255+J336)</f>
        <v>413953.41000000003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680100.08</v>
      </c>
      <c r="H649" s="104">
        <f>H598</f>
        <v>680100.08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333401.96999999997</v>
      </c>
      <c r="H650" s="104">
        <f>I598</f>
        <v>333401.96999999997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23987.51</v>
      </c>
      <c r="H652" s="104">
        <f>K263+K345</f>
        <v>23987.51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50000</v>
      </c>
      <c r="H655" s="104">
        <f>K266+K347</f>
        <v>50000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11793678.24</v>
      </c>
      <c r="G660" s="19">
        <f>(L229+L309+L359)</f>
        <v>11956392.890000001</v>
      </c>
      <c r="H660" s="19">
        <f>(L247+L328+L360)</f>
        <v>0</v>
      </c>
      <c r="I660" s="19">
        <f>SUM(F660:H660)</f>
        <v>23750071.130000003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109174.64234891432</v>
      </c>
      <c r="G661" s="19">
        <f>(L359/IF(SUM(L358:L360)=0,1,SUM(L358:L360))*(SUM(G97:G110)))</f>
        <v>212114.41765108565</v>
      </c>
      <c r="H661" s="19">
        <f>(L360/IF(SUM(L358:L360)=0,1,SUM(L358:L360))*(SUM(G97:G110)))</f>
        <v>0</v>
      </c>
      <c r="I661" s="19">
        <f>SUM(F661:H661)</f>
        <v>321289.05999999994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680100.08</v>
      </c>
      <c r="G662" s="19">
        <f>(L226+L306)-(J226+J306)</f>
        <v>333401.96999999997</v>
      </c>
      <c r="H662" s="19">
        <f>(L244+L325)-(J244+J325)</f>
        <v>0</v>
      </c>
      <c r="I662" s="19">
        <f>SUM(F662:H662)</f>
        <v>1013502.0499999999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282677.75</v>
      </c>
      <c r="G663" s="199">
        <f>SUM(G575:G587)+SUM(I602:I604)+L612</f>
        <v>366028.53</v>
      </c>
      <c r="H663" s="199">
        <f>SUM(H575:H587)+SUM(J602:J604)+L613</f>
        <v>0</v>
      </c>
      <c r="I663" s="19">
        <f>SUM(F663:H663)</f>
        <v>648706.28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10721725.767651087</v>
      </c>
      <c r="G664" s="19">
        <f>G660-SUM(G661:G663)</f>
        <v>11044847.972348915</v>
      </c>
      <c r="H664" s="19">
        <f>H660-SUM(H661:H663)</f>
        <v>0</v>
      </c>
      <c r="I664" s="19">
        <f>I660-SUM(I661:I663)</f>
        <v>21766573.740000002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571.74</v>
      </c>
      <c r="G665" s="248">
        <v>629.75</v>
      </c>
      <c r="H665" s="248"/>
      <c r="I665" s="19">
        <f>SUM(F665:H665)</f>
        <v>1201.49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18752.8</v>
      </c>
      <c r="G667" s="19">
        <f>ROUND(G664/G665,2)</f>
        <v>17538.46</v>
      </c>
      <c r="H667" s="19" t="e">
        <f>ROUND(H664/H665,2)</f>
        <v>#DIV/0!</v>
      </c>
      <c r="I667" s="19">
        <f>ROUND(I664/I665,2)</f>
        <v>18116.32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18752.8</v>
      </c>
      <c r="G672" s="19">
        <f>ROUND((G664+G669)/(G665+G670),2)</f>
        <v>17538.46</v>
      </c>
      <c r="H672" s="19" t="e">
        <f>ROUND((H664+H669)/(H665+H670),2)</f>
        <v>#DIV/0!</v>
      </c>
      <c r="I672" s="19">
        <f>ROUND((I664+I669)/(I665+I670),2)</f>
        <v>18116.32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Amherst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6474954.9100000001</v>
      </c>
      <c r="C9" s="229">
        <f>'DOE25'!G197+'DOE25'!G215+'DOE25'!G233+'DOE25'!G276+'DOE25'!G295+'DOE25'!G314</f>
        <v>2807354.19</v>
      </c>
    </row>
    <row r="10" spans="1:3" x14ac:dyDescent="0.2">
      <c r="A10" t="s">
        <v>779</v>
      </c>
      <c r="B10" s="240">
        <f>6384532.42+914.9</f>
        <v>6385447.3200000003</v>
      </c>
      <c r="C10" s="240">
        <v>2768546.27</v>
      </c>
    </row>
    <row r="11" spans="1:3" x14ac:dyDescent="0.2">
      <c r="A11" t="s">
        <v>780</v>
      </c>
      <c r="B11" s="240">
        <v>43004.65</v>
      </c>
      <c r="C11" s="240">
        <v>18645.580000000002</v>
      </c>
    </row>
    <row r="12" spans="1:3" x14ac:dyDescent="0.2">
      <c r="A12" t="s">
        <v>781</v>
      </c>
      <c r="B12" s="240">
        <v>46502.94</v>
      </c>
      <c r="C12" s="240">
        <v>20162.34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6474954.9100000011</v>
      </c>
      <c r="C13" s="231">
        <f>SUM(C10:C12)</f>
        <v>2807354.19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2556947.7800000003</v>
      </c>
      <c r="C18" s="229">
        <f>'DOE25'!G198+'DOE25'!G216+'DOE25'!G234+'DOE25'!G277+'DOE25'!G296+'DOE25'!G315</f>
        <v>1539567.3399999999</v>
      </c>
    </row>
    <row r="19" spans="1:3" x14ac:dyDescent="0.2">
      <c r="A19" t="s">
        <v>779</v>
      </c>
      <c r="B19" s="240">
        <f>1226823.39+2277.63</f>
        <v>1229101.0199999998</v>
      </c>
      <c r="C19" s="240">
        <v>740055.7</v>
      </c>
    </row>
    <row r="20" spans="1:3" x14ac:dyDescent="0.2">
      <c r="A20" t="s">
        <v>780</v>
      </c>
      <c r="B20" s="240">
        <v>1128266.8600000001</v>
      </c>
      <c r="C20" s="240">
        <v>679342.31</v>
      </c>
    </row>
    <row r="21" spans="1:3" x14ac:dyDescent="0.2">
      <c r="A21" t="s">
        <v>781</v>
      </c>
      <c r="B21" s="240">
        <v>199579.9</v>
      </c>
      <c r="C21" s="240">
        <v>120169.33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2556947.7799999998</v>
      </c>
      <c r="C22" s="231">
        <f>SUM(C19:C21)</f>
        <v>1539567.34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109480.5</v>
      </c>
      <c r="C36" s="235">
        <f>'DOE25'!G200+'DOE25'!G218+'DOE25'!G236+'DOE25'!G279+'DOE25'!G298+'DOE25'!G317</f>
        <v>18460.63</v>
      </c>
    </row>
    <row r="37" spans="1:3" x14ac:dyDescent="0.2">
      <c r="A37" t="s">
        <v>779</v>
      </c>
      <c r="B37" s="240">
        <v>46009</v>
      </c>
      <c r="C37" s="240">
        <f>11832.26-46.84</f>
        <v>11785.42</v>
      </c>
    </row>
    <row r="38" spans="1:3" x14ac:dyDescent="0.2">
      <c r="A38" t="s">
        <v>780</v>
      </c>
      <c r="B38" s="240">
        <v>15191</v>
      </c>
      <c r="C38" s="240">
        <v>3175.93</v>
      </c>
    </row>
    <row r="39" spans="1:3" x14ac:dyDescent="0.2">
      <c r="A39" t="s">
        <v>781</v>
      </c>
      <c r="B39" s="240">
        <v>48280.5</v>
      </c>
      <c r="C39" s="240">
        <v>3499.28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109480.5</v>
      </c>
      <c r="C40" s="231">
        <f>SUM(C37:C39)</f>
        <v>18460.63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H34" sqref="H3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Amherst School District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14157378.030000001</v>
      </c>
      <c r="D5" s="20">
        <f>SUM('DOE25'!L197:L200)+SUM('DOE25'!L215:L218)+SUM('DOE25'!L233:L236)-F5-G5</f>
        <v>13839597.340000002</v>
      </c>
      <c r="E5" s="243"/>
      <c r="F5" s="255">
        <f>SUM('DOE25'!J197:J200)+SUM('DOE25'!J215:J218)+SUM('DOE25'!J233:J236)</f>
        <v>315021.19</v>
      </c>
      <c r="G5" s="53">
        <f>SUM('DOE25'!K197:K200)+SUM('DOE25'!K215:K218)+SUM('DOE25'!K233:K236)</f>
        <v>2759.5</v>
      </c>
      <c r="H5" s="259"/>
    </row>
    <row r="6" spans="1:9" x14ac:dyDescent="0.2">
      <c r="A6" s="32">
        <v>2100</v>
      </c>
      <c r="B6" t="s">
        <v>801</v>
      </c>
      <c r="C6" s="245">
        <f t="shared" si="0"/>
        <v>2953163.6499999994</v>
      </c>
      <c r="D6" s="20">
        <f>'DOE25'!L202+'DOE25'!L220+'DOE25'!L238-F6-G6</f>
        <v>2952823.6499999994</v>
      </c>
      <c r="E6" s="243"/>
      <c r="F6" s="255">
        <f>'DOE25'!J202+'DOE25'!J220+'DOE25'!J238</f>
        <v>340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460645.02</v>
      </c>
      <c r="D7" s="20">
        <f>'DOE25'!L203+'DOE25'!L221+'DOE25'!L239-F7-G7</f>
        <v>460645.02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1266320.6499999999</v>
      </c>
      <c r="D8" s="243"/>
      <c r="E8" s="20">
        <f>'DOE25'!L204+'DOE25'!L222+'DOE25'!L240-F8-G8-D9-D11</f>
        <v>1260801.9099999999</v>
      </c>
      <c r="F8" s="255">
        <f>'DOE25'!J204+'DOE25'!J222+'DOE25'!J240</f>
        <v>0</v>
      </c>
      <c r="G8" s="53">
        <f>'DOE25'!K204+'DOE25'!K222+'DOE25'!K240</f>
        <v>5518.74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1292366.06</v>
      </c>
      <c r="D12" s="20">
        <f>'DOE25'!L205+'DOE25'!L223+'DOE25'!L241-F12-G12</f>
        <v>1261365.2</v>
      </c>
      <c r="E12" s="243"/>
      <c r="F12" s="255">
        <f>'DOE25'!J205+'DOE25'!J223+'DOE25'!J241</f>
        <v>26725.86</v>
      </c>
      <c r="G12" s="53">
        <f>'DOE25'!K205+'DOE25'!K223+'DOE25'!K241</f>
        <v>4275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510</v>
      </c>
      <c r="D13" s="243"/>
      <c r="E13" s="20">
        <f>'DOE25'!L206+'DOE25'!L224+'DOE25'!L242-F13-G13</f>
        <v>510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1412042.2200000002</v>
      </c>
      <c r="D14" s="20">
        <f>'DOE25'!L207+'DOE25'!L225+'DOE25'!L243-F14-G14</f>
        <v>1402566.7400000002</v>
      </c>
      <c r="E14" s="243"/>
      <c r="F14" s="255">
        <f>'DOE25'!J207+'DOE25'!J225+'DOE25'!J243</f>
        <v>9375.98</v>
      </c>
      <c r="G14" s="53">
        <f>'DOE25'!K207+'DOE25'!K225+'DOE25'!K243</f>
        <v>99.5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1013502.0499999999</v>
      </c>
      <c r="D15" s="20">
        <f>'DOE25'!L208+'DOE25'!L226+'DOE25'!L244-F15-G15</f>
        <v>1013502.0499999999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399681.61</v>
      </c>
      <c r="D16" s="243"/>
      <c r="E16" s="20">
        <f>'DOE25'!L209+'DOE25'!L227+'DOE25'!L245-F16-G16</f>
        <v>341451.23</v>
      </c>
      <c r="F16" s="255">
        <f>'DOE25'!J209+'DOE25'!J227+'DOE25'!J245</f>
        <v>58230.38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16590</v>
      </c>
      <c r="D22" s="243"/>
      <c r="E22" s="243"/>
      <c r="F22" s="255">
        <f>'DOE25'!L255+'DOE25'!L336</f>
        <v>16590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547375.01</v>
      </c>
      <c r="D25" s="243"/>
      <c r="E25" s="243"/>
      <c r="F25" s="258"/>
      <c r="G25" s="256"/>
      <c r="H25" s="257">
        <f>'DOE25'!L260+'DOE25'!L261+'DOE25'!L341+'DOE25'!L342</f>
        <v>547375.01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304716.46000000008</v>
      </c>
      <c r="D29" s="20">
        <f>'DOE25'!L358+'DOE25'!L359+'DOE25'!L360-'DOE25'!I367-F29-G29</f>
        <v>304467.16000000009</v>
      </c>
      <c r="E29" s="243"/>
      <c r="F29" s="255">
        <f>'DOE25'!J358+'DOE25'!J359+'DOE25'!J360</f>
        <v>0</v>
      </c>
      <c r="G29" s="53">
        <f>'DOE25'!K358+'DOE25'!K359+'DOE25'!K360</f>
        <v>249.3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372174.92</v>
      </c>
      <c r="D31" s="20">
        <f>'DOE25'!L290+'DOE25'!L309+'DOE25'!L328+'DOE25'!L333+'DOE25'!L334+'DOE25'!L335-F31-G31</f>
        <v>367914.92</v>
      </c>
      <c r="E31" s="243"/>
      <c r="F31" s="255">
        <f>'DOE25'!J290+'DOE25'!J309+'DOE25'!J328+'DOE25'!J333+'DOE25'!J334+'DOE25'!J335</f>
        <v>4260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21602882.080000006</v>
      </c>
      <c r="E33" s="246">
        <f>SUM(E5:E31)</f>
        <v>1602763.14</v>
      </c>
      <c r="F33" s="246">
        <f>SUM(F5:F31)</f>
        <v>430543.41</v>
      </c>
      <c r="G33" s="246">
        <f>SUM(G5:G31)</f>
        <v>12902.039999999999</v>
      </c>
      <c r="H33" s="246">
        <f>SUM(H5:H31)</f>
        <v>547375.01</v>
      </c>
    </row>
    <row r="35" spans="2:8" ht="12" thickBot="1" x14ac:dyDescent="0.25">
      <c r="B35" s="253" t="s">
        <v>847</v>
      </c>
      <c r="D35" s="254">
        <f>E33</f>
        <v>1602763.14</v>
      </c>
      <c r="E35" s="249"/>
    </row>
    <row r="36" spans="2:8" ht="12" thickTop="1" x14ac:dyDescent="0.2">
      <c r="B36" t="s">
        <v>815</v>
      </c>
      <c r="D36" s="20">
        <f>D33</f>
        <v>21602882.080000006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Amherst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-188955.66</v>
      </c>
      <c r="D8" s="95">
        <f>'DOE25'!G9</f>
        <v>0</v>
      </c>
      <c r="E8" s="95">
        <f>'DOE25'!H9</f>
        <v>0</v>
      </c>
      <c r="F8" s="95">
        <f>'DOE25'!I9</f>
        <v>30.99</v>
      </c>
      <c r="G8" s="95">
        <f>'DOE25'!J9</f>
        <v>75607.759999999995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210763.64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209887.74</v>
      </c>
      <c r="D11" s="95">
        <f>'DOE25'!G12</f>
        <v>10082.51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398010.63</v>
      </c>
      <c r="D12" s="95">
        <f>'DOE25'!G13</f>
        <v>10549.85</v>
      </c>
      <c r="E12" s="95">
        <f>'DOE25'!H13</f>
        <v>169565.73</v>
      </c>
      <c r="F12" s="95">
        <f>'DOE25'!I13</f>
        <v>0</v>
      </c>
      <c r="G12" s="95">
        <f>'DOE25'!J13</f>
        <v>198477.52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3348.1</v>
      </c>
      <c r="D13" s="95">
        <f>'DOE25'!G14</f>
        <v>29.98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633054.44999999995</v>
      </c>
      <c r="D18" s="41">
        <f>SUM(D8:D17)</f>
        <v>20662.34</v>
      </c>
      <c r="E18" s="41">
        <f>SUM(E8:E17)</f>
        <v>169565.73</v>
      </c>
      <c r="F18" s="41">
        <f>SUM(F8:F17)</f>
        <v>30.99</v>
      </c>
      <c r="G18" s="41">
        <f>SUM(G8:G17)</f>
        <v>274085.27999999997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169360.73</v>
      </c>
      <c r="F21" s="95">
        <f>'DOE25'!I22</f>
        <v>0</v>
      </c>
      <c r="G21" s="95">
        <f>'DOE25'!J22</f>
        <v>50609.52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41842.54</v>
      </c>
      <c r="D22" s="95">
        <f>'DOE25'!G23</f>
        <v>3141.58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237304.99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39548.44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42931.74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2160</v>
      </c>
      <c r="D29" s="95">
        <f>'DOE25'!G30</f>
        <v>17520.759999999998</v>
      </c>
      <c r="E29" s="95">
        <f>'DOE25'!H30</f>
        <v>205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75607.759999999995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363787.70999999996</v>
      </c>
      <c r="D31" s="41">
        <f>SUM(D21:D30)</f>
        <v>20662.339999999997</v>
      </c>
      <c r="E31" s="41">
        <f>SUM(E21:E30)</f>
        <v>169565.73</v>
      </c>
      <c r="F31" s="41">
        <f>SUM(F21:F30)</f>
        <v>0</v>
      </c>
      <c r="G31" s="41">
        <f>SUM(G21:G30)</f>
        <v>126217.28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30.99</v>
      </c>
      <c r="G47" s="95">
        <f>'DOE25'!J48</f>
        <v>147868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219266.74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269266.74</v>
      </c>
      <c r="D50" s="41">
        <f>SUM(D34:D49)</f>
        <v>0</v>
      </c>
      <c r="E50" s="41">
        <f>SUM(E34:E49)</f>
        <v>0</v>
      </c>
      <c r="F50" s="41">
        <f>SUM(F34:F49)</f>
        <v>30.99</v>
      </c>
      <c r="G50" s="41">
        <f>SUM(G34:G49)</f>
        <v>147868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633054.44999999995</v>
      </c>
      <c r="D51" s="41">
        <f>D50+D31</f>
        <v>20662.339999999997</v>
      </c>
      <c r="E51" s="41">
        <f>E50+E31</f>
        <v>169565.73</v>
      </c>
      <c r="F51" s="41">
        <f>F50+F31</f>
        <v>30.99</v>
      </c>
      <c r="G51" s="41">
        <f>G50+G31</f>
        <v>274085.28000000003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16614254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1151758.95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10150.709999999999</v>
      </c>
      <c r="D59" s="95">
        <f>'DOE25'!G96</f>
        <v>0</v>
      </c>
      <c r="E59" s="95">
        <f>'DOE25'!H96</f>
        <v>0</v>
      </c>
      <c r="F59" s="95">
        <f>'DOE25'!I96</f>
        <v>0.02</v>
      </c>
      <c r="G59" s="95">
        <f>'DOE25'!J96</f>
        <v>481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320649.45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144301.08000000002</v>
      </c>
      <c r="D61" s="95">
        <f>SUM('DOE25'!G98:G110)</f>
        <v>639.61</v>
      </c>
      <c r="E61" s="95">
        <f>SUM('DOE25'!H98:H110)</f>
        <v>4220.96</v>
      </c>
      <c r="F61" s="95">
        <f>SUM('DOE25'!I98:I110)</f>
        <v>0</v>
      </c>
      <c r="G61" s="95">
        <f>SUM('DOE25'!J98:J110)</f>
        <v>3519.52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1306210.74</v>
      </c>
      <c r="D62" s="130">
        <f>SUM(D57:D61)</f>
        <v>321289.06</v>
      </c>
      <c r="E62" s="130">
        <f>SUM(E57:E61)</f>
        <v>4220.96</v>
      </c>
      <c r="F62" s="130">
        <f>SUM(F57:F61)</f>
        <v>0.02</v>
      </c>
      <c r="G62" s="130">
        <f>SUM(G57:G61)</f>
        <v>4000.52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17920464.739999998</v>
      </c>
      <c r="D63" s="22">
        <f>D56+D62</f>
        <v>321289.06</v>
      </c>
      <c r="E63" s="22">
        <f>E56+E62</f>
        <v>4220.96</v>
      </c>
      <c r="F63" s="22">
        <f>F56+F62</f>
        <v>0.02</v>
      </c>
      <c r="G63" s="22">
        <f>G56+G62</f>
        <v>4000.52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2103516.9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2286180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4389696.9000000004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143915.70000000001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228642.25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3791.49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372557.95</v>
      </c>
      <c r="D78" s="130">
        <f>SUM(D72:D77)</f>
        <v>3791.49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4762254.8500000006</v>
      </c>
      <c r="D81" s="130">
        <f>SUM(D79:D80)+D78+D70</f>
        <v>3791.49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197287.54</v>
      </c>
      <c r="D88" s="95">
        <f>SUM('DOE25'!G153:G161)</f>
        <v>73218.86</v>
      </c>
      <c r="E88" s="95">
        <f>SUM('DOE25'!H153:H161)</f>
        <v>367953.96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197287.54</v>
      </c>
      <c r="D91" s="131">
        <f>SUM(D85:D90)</f>
        <v>73218.86</v>
      </c>
      <c r="E91" s="131">
        <f>SUM(E85:E90)</f>
        <v>367953.96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23987.51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23987.51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765</v>
      </c>
      <c r="C104" s="86">
        <f>C63+C81+C91+C103</f>
        <v>22880007.129999999</v>
      </c>
      <c r="D104" s="86">
        <f>D63+D81+D91+D103</f>
        <v>422286.92</v>
      </c>
      <c r="E104" s="86">
        <f>E63+E81+E91+E103</f>
        <v>372174.92000000004</v>
      </c>
      <c r="F104" s="86">
        <f>F63+F81+F91+F103</f>
        <v>0.02</v>
      </c>
      <c r="G104" s="86">
        <f>G63+G81+G103</f>
        <v>54000.52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9882500.0100000016</v>
      </c>
      <c r="D109" s="24" t="s">
        <v>289</v>
      </c>
      <c r="E109" s="95">
        <f>('DOE25'!L276)+('DOE25'!L295)+('DOE25'!L314)</f>
        <v>37151.14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4124444.03</v>
      </c>
      <c r="D110" s="24" t="s">
        <v>289</v>
      </c>
      <c r="E110" s="95">
        <f>('DOE25'!L277)+('DOE25'!L296)+('DOE25'!L315)</f>
        <v>267002.64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150433.99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14157378.030000001</v>
      </c>
      <c r="D115" s="86">
        <f>SUM(D109:D114)</f>
        <v>0</v>
      </c>
      <c r="E115" s="86">
        <f>SUM(E109:E114)</f>
        <v>304153.78000000003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2953163.6499999994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460645.02</v>
      </c>
      <c r="D119" s="24" t="s">
        <v>289</v>
      </c>
      <c r="E119" s="95">
        <f>+('DOE25'!L282)+('DOE25'!L301)+('DOE25'!L320)</f>
        <v>63110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1266320.6499999999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1292366.06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510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1412042.2200000002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1013502.0499999999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399681.61</v>
      </c>
      <c r="D125" s="24" t="s">
        <v>289</v>
      </c>
      <c r="E125" s="95">
        <f>+('DOE25'!L288)+('DOE25'!L307)+('DOE25'!L326)</f>
        <v>4911.1400000000003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422286.92000000004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8798231.2599999998</v>
      </c>
      <c r="D128" s="86">
        <f>SUM(D118:D127)</f>
        <v>422286.92000000004</v>
      </c>
      <c r="E128" s="86">
        <f>SUM(E118:E127)</f>
        <v>68021.14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16590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390000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157375.01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23987.51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50481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3519.52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-4000.5199999999968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637952.52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23593561.809999999</v>
      </c>
      <c r="D145" s="86">
        <f>(D115+D128+D144)</f>
        <v>422286.92000000004</v>
      </c>
      <c r="E145" s="86">
        <f>(E115+E128+E144)</f>
        <v>372174.92000000004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12/11</v>
      </c>
      <c r="C152" s="152" t="str">
        <f>'DOE25'!G491</f>
        <v>07/08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7/21</v>
      </c>
      <c r="C153" s="152" t="str">
        <f>'DOE25'!G492</f>
        <v>08/28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1717000</v>
      </c>
      <c r="C154" s="137">
        <f>'DOE25'!G493</f>
        <v>3883620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1.62</v>
      </c>
      <c r="C155" s="137">
        <f>'DOE25'!G494</f>
        <v>4.24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1300000</v>
      </c>
      <c r="C156" s="137">
        <f>'DOE25'!G495</f>
        <v>2910000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4210000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195000</v>
      </c>
      <c r="C158" s="137">
        <f>'DOE25'!G497</f>
        <v>195000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390000</v>
      </c>
    </row>
    <row r="159" spans="1:9" x14ac:dyDescent="0.2">
      <c r="A159" s="22" t="s">
        <v>35</v>
      </c>
      <c r="B159" s="137">
        <f>'DOE25'!F498</f>
        <v>1105000</v>
      </c>
      <c r="C159" s="137">
        <f>'DOE25'!G498</f>
        <v>2715000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3820000</v>
      </c>
    </row>
    <row r="160" spans="1:9" x14ac:dyDescent="0.2">
      <c r="A160" s="22" t="s">
        <v>36</v>
      </c>
      <c r="B160" s="137">
        <f>'DOE25'!F499</f>
        <v>103725</v>
      </c>
      <c r="C160" s="137">
        <f>'DOE25'!G499</f>
        <v>720628.21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824353.21</v>
      </c>
    </row>
    <row r="161" spans="1:7" x14ac:dyDescent="0.2">
      <c r="A161" s="22" t="s">
        <v>37</v>
      </c>
      <c r="B161" s="137">
        <f>'DOE25'!F500</f>
        <v>1208725</v>
      </c>
      <c r="C161" s="137">
        <f>'DOE25'!G500</f>
        <v>3435628.21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4644353.21</v>
      </c>
    </row>
    <row r="162" spans="1:7" x14ac:dyDescent="0.2">
      <c r="A162" s="22" t="s">
        <v>38</v>
      </c>
      <c r="B162" s="137">
        <f>'DOE25'!F501</f>
        <v>195000</v>
      </c>
      <c r="C162" s="137">
        <f>'DOE25'!G501</f>
        <v>195000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390000</v>
      </c>
    </row>
    <row r="163" spans="1:7" x14ac:dyDescent="0.2">
      <c r="A163" s="22" t="s">
        <v>39</v>
      </c>
      <c r="B163" s="137">
        <f>'DOE25'!F502</f>
        <v>32025</v>
      </c>
      <c r="C163" s="137">
        <f>'DOE25'!G502</f>
        <v>110237.51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142262.51</v>
      </c>
    </row>
    <row r="164" spans="1:7" x14ac:dyDescent="0.2">
      <c r="A164" s="22" t="s">
        <v>246</v>
      </c>
      <c r="B164" s="137">
        <f>'DOE25'!F503</f>
        <v>227025</v>
      </c>
      <c r="C164" s="137">
        <f>'DOE25'!G503</f>
        <v>305237.51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532262.51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Amherst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18753</v>
      </c>
    </row>
    <row r="5" spans="1:4" x14ac:dyDescent="0.2">
      <c r="B5" t="s">
        <v>704</v>
      </c>
      <c r="C5" s="179">
        <f>IF('DOE25'!G665+'DOE25'!G670=0,0,ROUND('DOE25'!G672,0))</f>
        <v>17538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18116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9919651</v>
      </c>
      <c r="D10" s="182">
        <f>ROUND((C10/$C$28)*100,1)</f>
        <v>42.1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4391447</v>
      </c>
      <c r="D11" s="182">
        <f>ROUND((C11/$C$28)*100,1)</f>
        <v>18.600000000000001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150434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2953164</v>
      </c>
      <c r="D15" s="182">
        <f t="shared" ref="D15:D27" si="0">ROUND((C15/$C$28)*100,1)</f>
        <v>12.5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523755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1670913</v>
      </c>
      <c r="D17" s="182">
        <f t="shared" si="0"/>
        <v>7.1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1292366</v>
      </c>
      <c r="D18" s="182">
        <f t="shared" si="0"/>
        <v>5.5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510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1412042</v>
      </c>
      <c r="D20" s="182">
        <f t="shared" si="0"/>
        <v>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1013502</v>
      </c>
      <c r="D21" s="182">
        <f t="shared" si="0"/>
        <v>4.3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157375</v>
      </c>
      <c r="D25" s="182">
        <f t="shared" si="0"/>
        <v>0.7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100997.94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23586156.940000001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16590</v>
      </c>
    </row>
    <row r="30" spans="1:4" x14ac:dyDescent="0.2">
      <c r="B30" s="187" t="s">
        <v>729</v>
      </c>
      <c r="C30" s="180">
        <f>SUM(C28:C29)</f>
        <v>23602746.940000001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390000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16614254</v>
      </c>
      <c r="D35" s="182">
        <f t="shared" ref="D35:D40" si="1">ROUND((C35/$C$41)*100,1)</f>
        <v>71.2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1314432.2399999984</v>
      </c>
      <c r="D36" s="182">
        <f t="shared" si="1"/>
        <v>5.6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4389697</v>
      </c>
      <c r="D37" s="182">
        <f t="shared" si="1"/>
        <v>18.8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376349</v>
      </c>
      <c r="D38" s="182">
        <f t="shared" si="1"/>
        <v>1.6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638460</v>
      </c>
      <c r="D39" s="182">
        <f t="shared" si="1"/>
        <v>2.7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23333192.239999998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770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767</v>
      </c>
      <c r="B2" s="302"/>
      <c r="C2" s="302"/>
      <c r="D2" s="302"/>
      <c r="E2" s="302"/>
      <c r="F2" s="299" t="str">
        <f>'DOE25'!A2</f>
        <v>Amherst School District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7" t="s">
        <v>771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848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2016-08-30T18:24:30Z</cp:lastPrinted>
  <dcterms:created xsi:type="dcterms:W3CDTF">1997-12-04T19:04:30Z</dcterms:created>
  <dcterms:modified xsi:type="dcterms:W3CDTF">2016-10-21T15:32:57Z</dcterms:modified>
</cp:coreProperties>
</file>