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0" yWindow="0" windowWidth="20730" windowHeight="117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459" i="1" l="1"/>
  <c r="F50" i="1" l="1"/>
  <c r="G441" i="1"/>
  <c r="H161" i="1" l="1"/>
  <c r="H159" i="1"/>
  <c r="H154" i="1"/>
  <c r="H155" i="1"/>
  <c r="H13" i="1"/>
  <c r="F12" i="1" l="1"/>
  <c r="G22" i="1"/>
  <c r="H22" i="1"/>
  <c r="K263" i="1"/>
  <c r="G179" i="1"/>
  <c r="G48" i="1"/>
  <c r="C37" i="12" l="1"/>
  <c r="C19" i="12"/>
  <c r="C20" i="12"/>
  <c r="C21" i="12"/>
  <c r="B20" i="12"/>
  <c r="B19" i="12"/>
  <c r="B10" i="12"/>
  <c r="F209" i="1"/>
  <c r="F197" i="1"/>
  <c r="C10" i="12"/>
  <c r="B12" i="12"/>
  <c r="I358" i="1" l="1"/>
  <c r="F367" i="1"/>
  <c r="H604" i="1"/>
  <c r="H526" i="1"/>
  <c r="J521" i="1"/>
  <c r="I521" i="1"/>
  <c r="G521" i="1"/>
  <c r="F521" i="1"/>
  <c r="I332" i="1"/>
  <c r="H24" i="1"/>
  <c r="F368" i="1"/>
  <c r="G97" i="1"/>
  <c r="F28" i="1"/>
  <c r="F14" i="1"/>
  <c r="F9" i="1"/>
  <c r="J472" i="1"/>
  <c r="I472" i="1"/>
  <c r="I468" i="1"/>
  <c r="F468" i="1"/>
  <c r="F96" i="1" l="1"/>
  <c r="G203" i="1" l="1"/>
  <c r="F19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C19" i="10" s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C119" i="2" s="1"/>
  <c r="L221" i="1"/>
  <c r="L239" i="1"/>
  <c r="F12" i="13"/>
  <c r="G12" i="13"/>
  <c r="L205" i="1"/>
  <c r="C18" i="10" s="1"/>
  <c r="L223" i="1"/>
  <c r="L241" i="1"/>
  <c r="F14" i="13"/>
  <c r="G14" i="13"/>
  <c r="L207" i="1"/>
  <c r="L225" i="1"/>
  <c r="L243" i="1"/>
  <c r="F15" i="13"/>
  <c r="G15" i="13"/>
  <c r="L208" i="1"/>
  <c r="L226" i="1"/>
  <c r="L244" i="1"/>
  <c r="H662" i="1" s="1"/>
  <c r="I662" i="1" s="1"/>
  <c r="F17" i="13"/>
  <c r="G17" i="13"/>
  <c r="L251" i="1"/>
  <c r="D17" i="13" s="1"/>
  <c r="C17" i="13" s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E118" i="2" s="1"/>
  <c r="L282" i="1"/>
  <c r="E119" i="2" s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E123" i="2" s="1"/>
  <c r="L306" i="1"/>
  <c r="L307" i="1"/>
  <c r="L314" i="1"/>
  <c r="L315" i="1"/>
  <c r="L316" i="1"/>
  <c r="L317" i="1"/>
  <c r="L319" i="1"/>
  <c r="L320" i="1"/>
  <c r="L328" i="1" s="1"/>
  <c r="L321" i="1"/>
  <c r="L322" i="1"/>
  <c r="L323" i="1"/>
  <c r="L324" i="1"/>
  <c r="L325" i="1"/>
  <c r="L326" i="1"/>
  <c r="L333" i="1"/>
  <c r="L334" i="1"/>
  <c r="E114" i="2" s="1"/>
  <c r="L335" i="1"/>
  <c r="L260" i="1"/>
  <c r="C131" i="2" s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3" i="1" s="1"/>
  <c r="C138" i="2" s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F94" i="1"/>
  <c r="F111" i="1"/>
  <c r="F112" i="1" s="1"/>
  <c r="G111" i="1"/>
  <c r="H79" i="1"/>
  <c r="H94" i="1"/>
  <c r="E58" i="2" s="1"/>
  <c r="E62" i="2" s="1"/>
  <c r="E63" i="2" s="1"/>
  <c r="H111" i="1"/>
  <c r="I111" i="1"/>
  <c r="I112" i="1" s="1"/>
  <c r="J111" i="1"/>
  <c r="J112" i="1" s="1"/>
  <c r="F121" i="1"/>
  <c r="F136" i="1"/>
  <c r="G121" i="1"/>
  <c r="G136" i="1"/>
  <c r="H121" i="1"/>
  <c r="H140" i="1" s="1"/>
  <c r="H136" i="1"/>
  <c r="I121" i="1"/>
  <c r="I136" i="1"/>
  <c r="J121" i="1"/>
  <c r="J136" i="1"/>
  <c r="F147" i="1"/>
  <c r="F162" i="1"/>
  <c r="G147" i="1"/>
  <c r="D85" i="2" s="1"/>
  <c r="G162" i="1"/>
  <c r="H147" i="1"/>
  <c r="H162" i="1"/>
  <c r="I147" i="1"/>
  <c r="I162" i="1"/>
  <c r="C12" i="10"/>
  <c r="L250" i="1"/>
  <c r="L332" i="1"/>
  <c r="L254" i="1"/>
  <c r="L268" i="1"/>
  <c r="L269" i="1"/>
  <c r="L349" i="1"/>
  <c r="L350" i="1"/>
  <c r="E143" i="2" s="1"/>
  <c r="I665" i="1"/>
  <c r="I670" i="1"/>
  <c r="F662" i="1"/>
  <c r="G662" i="1"/>
  <c r="I669" i="1"/>
  <c r="C42" i="10"/>
  <c r="L374" i="1"/>
  <c r="L375" i="1"/>
  <c r="F130" i="2" s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C18" i="2" s="1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E56" i="2"/>
  <c r="F56" i="2"/>
  <c r="C57" i="2"/>
  <c r="E57" i="2"/>
  <c r="C58" i="2"/>
  <c r="C59" i="2"/>
  <c r="D59" i="2"/>
  <c r="E59" i="2"/>
  <c r="F59" i="2"/>
  <c r="D60" i="2"/>
  <c r="D62" i="2" s="1"/>
  <c r="C61" i="2"/>
  <c r="D61" i="2"/>
  <c r="E61" i="2"/>
  <c r="F61" i="2"/>
  <c r="C66" i="2"/>
  <c r="C67" i="2"/>
  <c r="C69" i="2"/>
  <c r="C70" i="2" s="1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E78" i="2" s="1"/>
  <c r="E81" i="2" s="1"/>
  <c r="F77" i="2"/>
  <c r="G77" i="2"/>
  <c r="G78" i="2" s="1"/>
  <c r="G81" i="2" s="1"/>
  <c r="C79" i="2"/>
  <c r="D79" i="2"/>
  <c r="E79" i="2"/>
  <c r="C80" i="2"/>
  <c r="E80" i="2"/>
  <c r="C85" i="2"/>
  <c r="C91" i="2" s="1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1" i="2"/>
  <c r="E111" i="2"/>
  <c r="E112" i="2"/>
  <c r="C113" i="2"/>
  <c r="E113" i="2"/>
  <c r="D115" i="2"/>
  <c r="F115" i="2"/>
  <c r="G115" i="2"/>
  <c r="C120" i="2"/>
  <c r="E120" i="2"/>
  <c r="C121" i="2"/>
  <c r="E121" i="2"/>
  <c r="E122" i="2"/>
  <c r="C124" i="2"/>
  <c r="E124" i="2"/>
  <c r="C125" i="2"/>
  <c r="E125" i="2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G157" i="2" s="1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G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G625" i="1" s="1"/>
  <c r="F177" i="1"/>
  <c r="F192" i="1" s="1"/>
  <c r="I177" i="1"/>
  <c r="F183" i="1"/>
  <c r="G183" i="1"/>
  <c r="H183" i="1"/>
  <c r="I183" i="1"/>
  <c r="J183" i="1"/>
  <c r="J192" i="1" s="1"/>
  <c r="F188" i="1"/>
  <c r="G188" i="1"/>
  <c r="G192" i="1" s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F408" i="1" s="1"/>
  <c r="H643" i="1" s="1"/>
  <c r="G393" i="1"/>
  <c r="H393" i="1"/>
  <c r="I393" i="1"/>
  <c r="F401" i="1"/>
  <c r="G401" i="1"/>
  <c r="G408" i="1" s="1"/>
  <c r="H645" i="1" s="1"/>
  <c r="H401" i="1"/>
  <c r="I401" i="1"/>
  <c r="I408" i="1" s="1"/>
  <c r="F407" i="1"/>
  <c r="G407" i="1"/>
  <c r="H407" i="1"/>
  <c r="I407" i="1"/>
  <c r="L413" i="1"/>
  <c r="L414" i="1"/>
  <c r="L415" i="1"/>
  <c r="L416" i="1"/>
  <c r="L417" i="1"/>
  <c r="L418" i="1"/>
  <c r="L419" i="1" s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639" i="1" s="1"/>
  <c r="J639" i="1" s="1"/>
  <c r="G446" i="1"/>
  <c r="G640" i="1" s="1"/>
  <c r="H446" i="1"/>
  <c r="F452" i="1"/>
  <c r="G452" i="1"/>
  <c r="H452" i="1"/>
  <c r="I452" i="1"/>
  <c r="F460" i="1"/>
  <c r="F461" i="1" s="1"/>
  <c r="H639" i="1" s="1"/>
  <c r="G460" i="1"/>
  <c r="G461" i="1" s="1"/>
  <c r="H640" i="1" s="1"/>
  <c r="H460" i="1"/>
  <c r="H461" i="1"/>
  <c r="H641" i="1" s="1"/>
  <c r="F470" i="1"/>
  <c r="I470" i="1"/>
  <c r="I474" i="1"/>
  <c r="I476" i="1" s="1"/>
  <c r="H625" i="1" s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G545" i="1" s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I571" i="1" s="1"/>
  <c r="J560" i="1"/>
  <c r="K560" i="1"/>
  <c r="L562" i="1"/>
  <c r="L563" i="1"/>
  <c r="L564" i="1"/>
  <c r="F565" i="1"/>
  <c r="G565" i="1"/>
  <c r="H565" i="1"/>
  <c r="H571" i="1" s="1"/>
  <c r="I565" i="1"/>
  <c r="J565" i="1"/>
  <c r="J571" i="1" s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8" i="1"/>
  <c r="G620" i="1"/>
  <c r="G622" i="1"/>
  <c r="G623" i="1"/>
  <c r="H627" i="1"/>
  <c r="H630" i="1"/>
  <c r="G634" i="1"/>
  <c r="H636" i="1"/>
  <c r="H638" i="1"/>
  <c r="G641" i="1"/>
  <c r="J641" i="1" s="1"/>
  <c r="G643" i="1"/>
  <c r="J643" i="1" s="1"/>
  <c r="G644" i="1"/>
  <c r="H647" i="1"/>
  <c r="G649" i="1"/>
  <c r="G650" i="1"/>
  <c r="G651" i="1"/>
  <c r="G652" i="1"/>
  <c r="H652" i="1"/>
  <c r="G653" i="1"/>
  <c r="H653" i="1"/>
  <c r="G654" i="1"/>
  <c r="H654" i="1"/>
  <c r="H655" i="1"/>
  <c r="J655" i="1" s="1"/>
  <c r="L256" i="1"/>
  <c r="L351" i="1"/>
  <c r="A31" i="12"/>
  <c r="D18" i="13"/>
  <c r="C18" i="13" s="1"/>
  <c r="D15" i="13"/>
  <c r="C15" i="13" s="1"/>
  <c r="D7" i="13"/>
  <c r="C7" i="13" s="1"/>
  <c r="F78" i="2"/>
  <c r="F81" i="2" s="1"/>
  <c r="C78" i="2"/>
  <c r="D50" i="2"/>
  <c r="F18" i="2"/>
  <c r="G156" i="2"/>
  <c r="E103" i="2"/>
  <c r="D19" i="13"/>
  <c r="C19" i="13" s="1"/>
  <c r="J257" i="1"/>
  <c r="J271" i="1" s="1"/>
  <c r="K571" i="1"/>
  <c r="D81" i="2"/>
  <c r="I169" i="1"/>
  <c r="H169" i="1"/>
  <c r="F169" i="1"/>
  <c r="J140" i="1"/>
  <c r="F571" i="1"/>
  <c r="H257" i="1"/>
  <c r="I552" i="1"/>
  <c r="G22" i="2"/>
  <c r="H552" i="1"/>
  <c r="F22" i="13"/>
  <c r="H25" i="13"/>
  <c r="C25" i="13" s="1"/>
  <c r="L560" i="1"/>
  <c r="F338" i="1"/>
  <c r="F352" i="1" s="1"/>
  <c r="H192" i="1"/>
  <c r="E16" i="13"/>
  <c r="L570" i="1"/>
  <c r="G36" i="2"/>
  <c r="L565" i="1"/>
  <c r="K551" i="1"/>
  <c r="C22" i="13"/>
  <c r="H33" i="13"/>
  <c r="F552" i="1" l="1"/>
  <c r="L401" i="1"/>
  <c r="C139" i="2" s="1"/>
  <c r="H408" i="1"/>
  <c r="H644" i="1" s="1"/>
  <c r="J644" i="1" s="1"/>
  <c r="J649" i="1"/>
  <c r="K598" i="1"/>
  <c r="G647" i="1" s="1"/>
  <c r="H545" i="1"/>
  <c r="G552" i="1"/>
  <c r="K545" i="1"/>
  <c r="J545" i="1"/>
  <c r="I545" i="1"/>
  <c r="L524" i="1"/>
  <c r="H52" i="1"/>
  <c r="H619" i="1" s="1"/>
  <c r="J619" i="1" s="1"/>
  <c r="J634" i="1"/>
  <c r="G645" i="1"/>
  <c r="J645" i="1"/>
  <c r="J625" i="1"/>
  <c r="D18" i="2"/>
  <c r="D31" i="2"/>
  <c r="D51" i="2" s="1"/>
  <c r="J617" i="1"/>
  <c r="D91" i="2"/>
  <c r="C62" i="2"/>
  <c r="C35" i="10"/>
  <c r="C63" i="2"/>
  <c r="C104" i="2" s="1"/>
  <c r="G661" i="1"/>
  <c r="H661" i="1"/>
  <c r="I661" i="1" s="1"/>
  <c r="D29" i="13"/>
  <c r="C29" i="13" s="1"/>
  <c r="D127" i="2"/>
  <c r="D128" i="2" s="1"/>
  <c r="D145" i="2" s="1"/>
  <c r="E128" i="2"/>
  <c r="E110" i="2"/>
  <c r="E115" i="2" s="1"/>
  <c r="J338" i="1"/>
  <c r="J352" i="1" s="1"/>
  <c r="F257" i="1"/>
  <c r="F271" i="1" s="1"/>
  <c r="G257" i="1"/>
  <c r="G271" i="1" s="1"/>
  <c r="C21" i="10"/>
  <c r="C11" i="10"/>
  <c r="L247" i="1"/>
  <c r="H660" i="1" s="1"/>
  <c r="C10" i="10"/>
  <c r="C109" i="2"/>
  <c r="A13" i="12"/>
  <c r="L229" i="1"/>
  <c r="L270" i="1"/>
  <c r="K257" i="1"/>
  <c r="K271" i="1" s="1"/>
  <c r="J647" i="1"/>
  <c r="C20" i="10"/>
  <c r="D12" i="13"/>
  <c r="C12" i="13" s="1"/>
  <c r="C17" i="10"/>
  <c r="E8" i="13"/>
  <c r="C8" i="13" s="1"/>
  <c r="D6" i="13"/>
  <c r="C6" i="13" s="1"/>
  <c r="I257" i="1"/>
  <c r="I271" i="1" s="1"/>
  <c r="A40" i="12"/>
  <c r="L211" i="1"/>
  <c r="C110" i="2"/>
  <c r="D5" i="13"/>
  <c r="C5" i="13" s="1"/>
  <c r="J640" i="1"/>
  <c r="L309" i="1"/>
  <c r="K550" i="1"/>
  <c r="C81" i="2"/>
  <c r="I460" i="1"/>
  <c r="I461" i="1" s="1"/>
  <c r="H642" i="1" s="1"/>
  <c r="I446" i="1"/>
  <c r="G642" i="1" s="1"/>
  <c r="C123" i="2"/>
  <c r="C114" i="2"/>
  <c r="C16" i="10"/>
  <c r="L362" i="1"/>
  <c r="K549" i="1"/>
  <c r="K552" i="1" s="1"/>
  <c r="E13" i="13"/>
  <c r="C13" i="13" s="1"/>
  <c r="L290" i="1"/>
  <c r="K503" i="1"/>
  <c r="L382" i="1"/>
  <c r="G636" i="1" s="1"/>
  <c r="J636" i="1" s="1"/>
  <c r="C15" i="10"/>
  <c r="C29" i="10"/>
  <c r="D14" i="13"/>
  <c r="C14" i="13" s="1"/>
  <c r="L544" i="1"/>
  <c r="C122" i="2"/>
  <c r="C118" i="2"/>
  <c r="C128" i="2" s="1"/>
  <c r="C13" i="10"/>
  <c r="C16" i="13"/>
  <c r="H271" i="1"/>
  <c r="H112" i="1"/>
  <c r="G624" i="1"/>
  <c r="K500" i="1"/>
  <c r="I52" i="1"/>
  <c r="H620" i="1" s="1"/>
  <c r="J620" i="1" s="1"/>
  <c r="C112" i="2"/>
  <c r="K338" i="1"/>
  <c r="K352" i="1" s="1"/>
  <c r="D56" i="2"/>
  <c r="D63" i="2" s="1"/>
  <c r="C32" i="10"/>
  <c r="G112" i="1"/>
  <c r="C26" i="10"/>
  <c r="L529" i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169" i="1"/>
  <c r="C39" i="10" s="1"/>
  <c r="G140" i="1"/>
  <c r="F140" i="1"/>
  <c r="F193" i="1" s="1"/>
  <c r="G627" i="1" s="1"/>
  <c r="J627" i="1" s="1"/>
  <c r="G63" i="2"/>
  <c r="J618" i="1"/>
  <c r="G42" i="2"/>
  <c r="G50" i="2" s="1"/>
  <c r="G51" i="2" s="1"/>
  <c r="J51" i="1"/>
  <c r="G16" i="2"/>
  <c r="G18" i="2" s="1"/>
  <c r="J19" i="1"/>
  <c r="G621" i="1" s="1"/>
  <c r="F545" i="1"/>
  <c r="H434" i="1"/>
  <c r="D103" i="2"/>
  <c r="I140" i="1"/>
  <c r="I193" i="1" s="1"/>
  <c r="G630" i="1" s="1"/>
  <c r="J630" i="1" s="1"/>
  <c r="A22" i="12"/>
  <c r="J652" i="1"/>
  <c r="G571" i="1"/>
  <c r="I434" i="1"/>
  <c r="G434" i="1"/>
  <c r="I663" i="1"/>
  <c r="J642" i="1" l="1"/>
  <c r="L545" i="1"/>
  <c r="G104" i="2"/>
  <c r="G646" i="1"/>
  <c r="J468" i="1"/>
  <c r="G635" i="1"/>
  <c r="G472" i="1"/>
  <c r="C36" i="10"/>
  <c r="H664" i="1"/>
  <c r="H667" i="1" s="1"/>
  <c r="C27" i="10"/>
  <c r="C28" i="10" s="1"/>
  <c r="D16" i="10" s="1"/>
  <c r="H648" i="1"/>
  <c r="J648" i="1" s="1"/>
  <c r="E145" i="2"/>
  <c r="L338" i="1"/>
  <c r="L352" i="1" s="1"/>
  <c r="L257" i="1"/>
  <c r="L271" i="1" s="1"/>
  <c r="E33" i="13"/>
  <c r="D35" i="13" s="1"/>
  <c r="F660" i="1"/>
  <c r="F664" i="1" s="1"/>
  <c r="F672" i="1" s="1"/>
  <c r="C4" i="10" s="1"/>
  <c r="C115" i="2"/>
  <c r="C145" i="2" s="1"/>
  <c r="H193" i="1"/>
  <c r="L408" i="1"/>
  <c r="D31" i="13"/>
  <c r="C31" i="13" s="1"/>
  <c r="G660" i="1"/>
  <c r="D104" i="2"/>
  <c r="C51" i="2"/>
  <c r="G631" i="1"/>
  <c r="G193" i="1"/>
  <c r="G626" i="1"/>
  <c r="J52" i="1"/>
  <c r="H621" i="1" s="1"/>
  <c r="J621" i="1" s="1"/>
  <c r="C38" i="10"/>
  <c r="G629" i="1" l="1"/>
  <c r="H468" i="1"/>
  <c r="G633" i="1"/>
  <c r="H472" i="1"/>
  <c r="H631" i="1"/>
  <c r="J631" i="1" s="1"/>
  <c r="J470" i="1"/>
  <c r="J476" i="1" s="1"/>
  <c r="H626" i="1" s="1"/>
  <c r="J626" i="1" s="1"/>
  <c r="H637" i="1"/>
  <c r="G628" i="1"/>
  <c r="G468" i="1"/>
  <c r="G632" i="1"/>
  <c r="F472" i="1"/>
  <c r="H635" i="1"/>
  <c r="G474" i="1"/>
  <c r="J635" i="1"/>
  <c r="H672" i="1"/>
  <c r="C6" i="10" s="1"/>
  <c r="D33" i="13"/>
  <c r="D36" i="13" s="1"/>
  <c r="D17" i="10"/>
  <c r="D24" i="10"/>
  <c r="D19" i="10"/>
  <c r="D22" i="10"/>
  <c r="D27" i="10"/>
  <c r="D10" i="10"/>
  <c r="D15" i="10"/>
  <c r="D11" i="10"/>
  <c r="D20" i="10"/>
  <c r="D25" i="10"/>
  <c r="F667" i="1"/>
  <c r="D18" i="10"/>
  <c r="C30" i="10"/>
  <c r="D23" i="10"/>
  <c r="D13" i="10"/>
  <c r="D21" i="10"/>
  <c r="D12" i="10"/>
  <c r="D26" i="10"/>
  <c r="G664" i="1"/>
  <c r="I660" i="1"/>
  <c r="I664" i="1" s="1"/>
  <c r="I672" i="1" s="1"/>
  <c r="C7" i="10" s="1"/>
  <c r="G637" i="1"/>
  <c r="H646" i="1"/>
  <c r="J646" i="1" s="1"/>
  <c r="C41" i="10"/>
  <c r="D38" i="10" s="1"/>
  <c r="H629" i="1" l="1"/>
  <c r="H470" i="1"/>
  <c r="J629" i="1"/>
  <c r="H474" i="1"/>
  <c r="H633" i="1"/>
  <c r="J633" i="1"/>
  <c r="J637" i="1"/>
  <c r="G470" i="1"/>
  <c r="G476" i="1" s="1"/>
  <c r="H623" i="1" s="1"/>
  <c r="J623" i="1" s="1"/>
  <c r="H628" i="1"/>
  <c r="J628" i="1"/>
  <c r="F474" i="1"/>
  <c r="F476" i="1" s="1"/>
  <c r="H622" i="1" s="1"/>
  <c r="H632" i="1"/>
  <c r="J632" i="1"/>
  <c r="D28" i="10"/>
  <c r="I667" i="1"/>
  <c r="G667" i="1"/>
  <c r="G672" i="1"/>
  <c r="C5" i="10" s="1"/>
  <c r="D37" i="10"/>
  <c r="D36" i="10"/>
  <c r="D35" i="10"/>
  <c r="D40" i="10"/>
  <c r="D39" i="10"/>
  <c r="H476" i="1" l="1"/>
  <c r="H624" i="1" s="1"/>
  <c r="J624" i="1" s="1"/>
  <c r="J622" i="1"/>
  <c r="D41" i="10"/>
  <c r="H656" i="1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<sst xmlns="http://schemas.openxmlformats.org/spreadsheetml/2006/main" count="3955" uniqueCount="913">
  <si>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</si>
  <si>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</si>
  <si>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</si>
  <si>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</si>
  <si>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</si>
  <si>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</si>
  <si>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</si>
  <si>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</si>
  <si>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</si>
  <si>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</si>
  <si>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</si>
  <si>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</si>
  <si>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</si>
  <si>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</si>
  <si>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</si>
  <si>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</si>
  <si>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</si>
  <si>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</si>
  <si>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</si>
  <si>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</si>
  <si>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</si>
  <si>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</si>
  <si>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</si>
  <si>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</si>
  <si>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</si>
  <si>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</si>
  <si>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</si>
  <si>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</si>
  <si>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</si>
  <si>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</si>
  <si>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</si>
  <si>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</si>
  <si>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</si>
  <si>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</si>
  <si>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</si>
  <si>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</si>
  <si>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</si>
  <si>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</si>
  <si>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</si>
  <si>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</si>
  <si>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</si>
  <si>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</si>
  <si>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</si>
  <si>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</si>
  <si>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</si>
  <si>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</si>
  <si>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</si>
  <si>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</si>
  <si>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</si>
  <si>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</si>
  <si>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</si>
  <si>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</si>
  <si>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</si>
  <si>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</si>
  <si>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</si>
  <si>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</si>
  <si>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</si>
  <si>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</si>
  <si>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</si>
  <si>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</si>
  <si>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</si>
  <si>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</si>
  <si>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</si>
  <si>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</si>
  <si>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</si>
  <si>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</si>
  <si>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</si>
  <si>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</si>
  <si>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</si>
  <si>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</si>
  <si>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</si>
  <si>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</si>
  <si>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</si>
  <si>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</si>
  <si>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</si>
  <si>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</si>
  <si>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</si>
  <si>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</si>
  <si>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</si>
  <si>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</si>
  <si>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</si>
  <si>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</si>
  <si>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</si>
  <si>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</si>
  <si>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</si>
  <si>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</si>
  <si>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</si>
  <si>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</si>
  <si>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</si>
  <si>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</si>
  <si>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</si>
  <si>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</si>
  <si>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</si>
  <si>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</si>
  <si>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</si>
  <si>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</si>
  <si>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</si>
  <si>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</si>
  <si>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</si>
  <si>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</si>
  <si>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</si>
  <si>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</si>
  <si>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</si>
  <si>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</si>
  <si>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</si>
  <si>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</si>
  <si>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</si>
  <si>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</si>
  <si>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</si>
  <si>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</si>
  <si>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</si>
  <si>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</si>
  <si>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</si>
  <si>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</si>
  <si>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</si>
  <si>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</si>
  <si>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</si>
  <si>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</si>
  <si>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</si>
  <si>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</si>
  <si>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</si>
  <si>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</si>
  <si>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</si>
  <si>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</si>
  <si>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</si>
  <si>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</si>
  <si>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</si>
  <si>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</si>
  <si>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</si>
  <si>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</si>
  <si>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</si>
  <si>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</si>
  <si>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</si>
  <si>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</si>
  <si>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</si>
  <si>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</si>
  <si>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</si>
  <si>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</si>
  <si>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</si>
  <si>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</si>
  <si>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</si>
  <si>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</si>
  <si>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</si>
  <si>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</si>
  <si>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</si>
  <si>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</si>
  <si>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</si>
  <si>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</si>
  <si>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</si>
  <si>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</si>
  <si>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</si>
  <si>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</si>
  <si>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</si>
  <si>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</si>
  <si>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</si>
  <si>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</si>
  <si>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</si>
  <si>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</si>
  <si>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</si>
  <si>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</si>
  <si>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</si>
  <si>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</si>
  <si>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</si>
  <si>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</si>
  <si>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</si>
  <si>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</si>
  <si>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</si>
  <si>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</si>
  <si>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</si>
  <si>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</si>
  <si>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</si>
  <si>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</si>
  <si>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</si>
  <si>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</si>
  <si>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</si>
  <si>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</si>
  <si>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</si>
  <si>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</si>
  <si>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</si>
  <si>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</si>
  <si>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</si>
  <si>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</si>
  <si>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</si>
  <si>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</si>
  <si>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</si>
  <si>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</si>
  <si>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</si>
  <si>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</si>
  <si>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</si>
  <si>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</si>
  <si>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</si>
  <si>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</si>
  <si>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</si>
  <si>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</si>
  <si>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</si>
  <si>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</si>
  <si>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</si>
  <si>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</si>
  <si>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</si>
  <si>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</si>
  <si>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</si>
  <si>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</si>
  <si>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</si>
  <si>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</si>
  <si>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</si>
  <si>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</si>
  <si>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</si>
  <si>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</si>
  <si>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</si>
  <si>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</si>
  <si>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</si>
  <si>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</si>
  <si>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</si>
  <si>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</si>
  <si>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</si>
  <si>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</si>
  <si>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</si>
  <si>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</si>
  <si>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</si>
  <si>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</si>
  <si>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</si>
  <si>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</si>
  <si>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</si>
  <si>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</si>
  <si>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</si>
  <si>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</si>
  <si>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</si>
  <si>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</si>
  <si>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</si>
  <si>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</si>
  <si>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</si>
  <si>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</si>
  <si>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</si>
  <si>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</si>
  <si>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</si>
  <si>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</si>
  <si>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</si>
  <si>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</si>
  <si>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</si>
  <si>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</si>
  <si>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</si>
  <si>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</si>
  <si>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</si>
  <si>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</si>
  <si>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</si>
  <si>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</si>
  <si>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</si>
  <si>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</si>
  <si>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</si>
  <si>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</si>
  <si>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</si>
  <si>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</si>
  <si>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</si>
  <si>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</si>
  <si>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</si>
  <si>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</si>
  <si>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</si>
  <si>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</si>
  <si>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</si>
  <si>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</si>
  <si>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</si>
  <si>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</si>
  <si>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</si>
  <si>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</si>
  <si>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</si>
  <si>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</si>
  <si>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</si>
  <si>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</si>
  <si>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</si>
  <si>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</si>
  <si>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</si>
  <si>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</si>
  <si>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</si>
  <si>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</si>
  <si>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</si>
  <si>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</si>
  <si>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</si>
  <si>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</si>
  <si>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</si>
  <si>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</si>
  <si>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</si>
  <si>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</si>
  <si>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</si>
  <si>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</si>
  <si>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</si>
  <si>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</si>
  <si>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</si>
  <si>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</si>
  <si>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</si>
  <si>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</si>
  <si>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</si>
  <si>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</si>
  <si>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</si>
  <si>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</si>
  <si>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</si>
  <si>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</si>
  <si>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</si>
  <si>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</si>
  <si>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</si>
  <si>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</si>
  <si>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</si>
  <si>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</si>
  <si>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</si>
  <si>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</si>
  <si>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</si>
  <si>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</si>
  <si>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</si>
  <si>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</si>
  <si>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</si>
  <si>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</si>
  <si>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</si>
  <si>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</si>
  <si>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</si>
  <si>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</si>
  <si>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</si>
  <si>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</si>
  <si>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</si>
  <si>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</si>
  <si>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</si>
  <si>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</si>
  <si>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</si>
  <si>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</si>
  <si>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</si>
  <si>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</si>
  <si>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</si>
  <si>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</si>
  <si>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</si>
  <si>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</si>
  <si>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</si>
  <si>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</si>
  <si>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</si>
  <si>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</si>
  <si>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</si>
  <si>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</si>
  <si>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</si>
  <si>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</si>
  <si>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</si>
  <si>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</si>
  <si>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</si>
  <si>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</si>
  <si>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</si>
  <si>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</si>
  <si>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</si>
  <si>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</si>
  <si>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</si>
  <si>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</si>
  <si>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</si>
  <si>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</si>
  <si>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</si>
  <si>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</si>
  <si>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</si>
  <si>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</si>
  <si>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</si>
  <si>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</si>
  <si>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</si>
  <si>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</si>
  <si>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</si>
  <si>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</si>
  <si>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</si>
  <si>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</si>
  <si>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</si>
  <si>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</si>
  <si>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</si>
  <si>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</si>
  <si>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</si>
  <si>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</si>
  <si>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</si>
  <si>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</si>
  <si>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</si>
  <si>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</si>
  <si>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</si>
  <si>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</si>
  <si>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</si>
  <si>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</si>
  <si>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</si>
  <si>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</si>
  <si>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</si>
  <si>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</si>
  <si>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</si>
  <si>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</si>
  <si>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</si>
  <si>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</si>
  <si>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</si>
  <si>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</si>
  <si>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</si>
  <si>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</si>
  <si>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</si>
  <si>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</si>
  <si>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</si>
  <si>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</si>
  <si>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</si>
  <si>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</si>
  <si>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</si>
  <si>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</si>
  <si>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</si>
  <si>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</si>
  <si>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</si>
  <si>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</si>
  <si>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</si>
  <si>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</si>
  <si>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</si>
  <si>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</si>
  <si>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</si>
  <si>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</si>
  <si>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</si>
  <si>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</si>
  <si>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</si>
  <si>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</si>
  <si>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</si>
  <si>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</si>
  <si>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</si>
  <si>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</si>
  <si>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</si>
  <si>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</si>
  <si>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</si>
  <si>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</si>
  <si>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</si>
  <si>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</si>
  <si>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</si>
  <si>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</si>
  <si>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</si>
  <si>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</si>
  <si>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</si>
  <si>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</si>
  <si>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</si>
  <si>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</si>
  <si>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</si>
  <si>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</si>
  <si>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</si>
  <si>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</si>
  <si>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</si>
  <si>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</si>
  <si>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</si>
  <si>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</si>
  <si>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</si>
  <si>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</si>
  <si>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</si>
  <si>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</si>
  <si>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</si>
  <si>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</si>
  <si>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</si>
  <si>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</si>
  <si>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</si>
  <si>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</si>
  <si>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</si>
  <si>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</si>
  <si>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</si>
  <si>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</si>
  <si>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</si>
  <si>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</si>
  <si>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</si>
  <si>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</si>
  <si>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</si>
  <si>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</si>
  <si>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</si>
  <si>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</si>
  <si>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</si>
  <si>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</si>
  <si>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</si>
  <si>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</si>
  <si>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</si>
  <si>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</si>
  <si>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</si>
  <si>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</si>
  <si>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</si>
  <si>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</si>
  <si>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</si>
  <si>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</si>
  <si>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</si>
  <si>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</si>
  <si>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</si>
  <si>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</si>
  <si>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</si>
  <si>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</si>
  <si>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</si>
  <si>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</si>
  <si>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</si>
  <si>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</si>
  <si>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</si>
  <si>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</si>
  <si>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</si>
  <si>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</si>
  <si>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</si>
  <si>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</si>
  <si>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</si>
  <si>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</si>
  <si>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</si>
  <si>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</si>
  <si>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</si>
  <si>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</si>
  <si>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</si>
  <si>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</si>
  <si>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</si>
  <si>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</si>
  <si>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</si>
  <si>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</si>
  <si>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</si>
  <si>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</si>
  <si>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</si>
  <si>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</si>
  <si>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</si>
  <si>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</si>
  <si>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</si>
  <si>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</si>
  <si>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</si>
  <si>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</si>
  <si>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</si>
  <si>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</si>
  <si>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</si>
  <si>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</si>
  <si>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</si>
  <si>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</si>
  <si>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</si>
  <si>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</si>
  <si>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</si>
  <si>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</si>
  <si>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</si>
  <si>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</si>
  <si>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</si>
  <si>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</si>
  <si>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</si>
  <si>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</si>
  <si>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</si>
  <si>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</si>
  <si>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</si>
  <si>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</si>
  <si>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</si>
  <si>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</si>
  <si>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</si>
  <si>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</si>
  <si>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</si>
  <si>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</si>
  <si>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</si>
  <si>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</si>
  <si>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</si>
  <si>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</si>
  <si>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</si>
  <si>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</si>
  <si>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</si>
  <si>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</si>
  <si>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</si>
  <si>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</si>
  <si>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</si>
  <si>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</si>
  <si>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</si>
  <si>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</si>
  <si>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</si>
  <si>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</si>
  <si>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</si>
  <si>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</si>
  <si>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</si>
  <si>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</si>
  <si>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</si>
  <si>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</si>
  <si>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</si>
  <si>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</si>
  <si>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</si>
  <si>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</si>
  <si>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</si>
  <si>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</si>
  <si>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</si>
  <si>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</si>
  <si>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</si>
  <si>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</si>
  <si>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</si>
  <si>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</si>
  <si>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</si>
  <si>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</si>
  <si>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</si>
  <si>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</si>
  <si>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</si>
  <si>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</si>
  <si>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</si>
  <si>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</si>
  <si>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</si>
  <si>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</si>
  <si>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</si>
  <si>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</si>
  <si>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</si>
  <si>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</si>
  <si>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</si>
  <si>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</si>
  <si>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</si>
  <si>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</si>
  <si>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</si>
  <si>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</si>
  <si>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</si>
  <si>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</si>
  <si>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</si>
  <si>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</si>
  <si>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</si>
  <si>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</si>
  <si>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</si>
  <si>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</si>
  <si>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</si>
  <si>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</si>
  <si>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</si>
  <si>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</si>
  <si>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</si>
  <si>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</si>
  <si>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</si>
  <si>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</si>
  <si>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</si>
  <si>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</si>
  <si>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</si>
  <si>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</si>
  <si>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</si>
  <si>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</si>
  <si>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</si>
  <si>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</si>
  <si>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</si>
  <si>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</si>
  <si>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</si>
  <si>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</si>
  <si>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</si>
  <si>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</si>
  <si>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</si>
  <si>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</si>
  <si>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</si>
  <si>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</si>
  <si>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</si>
  <si>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</si>
  <si>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</si>
  <si>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</si>
  <si>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</si>
  <si>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</si>
  <si>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</si>
  <si>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</si>
  <si>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</si>
  <si>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</si>
  <si>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</si>
  <si>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</si>
  <si>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</si>
  <si>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</si>
  <si>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</si>
  <si>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</si>
  <si>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</si>
  <si>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</si>
  <si>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</si>
  <si>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</si>
  <si>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</si>
  <si>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</si>
  <si>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</si>
  <si>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</si>
  <si>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</si>
  <si>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</si>
  <si>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</si>
  <si>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</si>
  <si>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</si>
  <si>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</si>
  <si>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</si>
  <si>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</si>
  <si>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</si>
  <si>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</si>
  <si>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</si>
  <si>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</si>
  <si>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</si>
  <si>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</si>
  <si>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</si>
  <si>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</si>
  <si>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</si>
  <si>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</si>
  <si>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</si>
  <si>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</si>
  <si>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</si>
  <si>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</si>
  <si>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</si>
  <si>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</si>
  <si>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</si>
  <si>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</si>
  <si>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</si>
  <si>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</si>
  <si>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</si>
  <si>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</si>
  <si>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</si>
  <si>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</si>
  <si>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</si>
  <si>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</si>
  <si>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</si>
  <si>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</si>
  <si>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</si>
  <si>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</si>
  <si>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</si>
  <si>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</si>
  <si>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</si>
  <si>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</si>
  <si>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</si>
  <si>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</si>
  <si>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</si>
  <si>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</si>
  <si>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</si>
  <si>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</si>
  <si>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</si>
  <si>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</si>
  <si>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</si>
  <si>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</si>
  <si>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</si>
  <si>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</si>
  <si>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</si>
  <si>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</si>
  <si>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</si>
  <si>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</si>
  <si>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</si>
  <si>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</si>
  <si>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</si>
  <si>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</si>
  <si>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</si>
  <si>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</si>
  <si>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</si>
  <si>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</si>
  <si>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</si>
  <si>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</si>
  <si>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</si>
  <si>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</si>
  <si>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</si>
  <si>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</si>
  <si>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</si>
  <si>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</si>
  <si>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</si>
  <si>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</si>
  <si>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</si>
  <si>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</si>
  <si>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</si>
  <si>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</si>
  <si>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</si>
  <si>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</si>
  <si>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</si>
  <si>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</si>
  <si>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</si>
  <si>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</si>
  <si>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</si>
  <si>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</si>
  <si>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</si>
  <si>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</si>
  <si>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</si>
  <si>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</si>
  <si>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</si>
  <si>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</si>
  <si>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</si>
  <si>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</si>
  <si>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</si>
  <si>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</si>
  <si>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</si>
  <si>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</si>
  <si>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</si>
  <si>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</si>
  <si>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</si>
  <si>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</si>
  <si>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</si>
  <si>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</si>
  <si>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</si>
  <si>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</si>
  <si>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</si>
  <si>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</si>
  <si>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</si>
  <si>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</si>
  <si>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</si>
  <si>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</si>
  <si>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</si>
  <si>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</si>
  <si>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</si>
  <si>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</si>
  <si>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</si>
  <si>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</si>
  <si>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</si>
  <si>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</si>
  <si>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</si>
  <si>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</si>
  <si>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</si>
  <si>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</si>
  <si>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</si>
  <si>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</si>
  <si>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</si>
  <si>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</si>
  <si>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</si>
  <si>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</si>
  <si>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</si>
  <si>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</si>
  <si>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</si>
  <si>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</si>
  <si>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</si>
  <si>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</si>
  <si>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</si>
  <si>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</si>
  <si>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</si>
  <si>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</si>
  <si>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</si>
  <si>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</si>
  <si>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</si>
  <si>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</si>
  <si>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</si>
  <si>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</si>
  <si>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</si>
  <si>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</si>
  <si>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</si>
  <si>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</si>
  <si>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</si>
  <si>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</si>
  <si>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</si>
  <si>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</si>
  <si>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</si>
  <si>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</si>
  <si>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</si>
  <si>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</si>
  <si>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</si>
  <si>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</si>
  <si>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</si>
  <si>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</si>
  <si>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</si>
  <si>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</si>
  <si>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</si>
  <si>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</si>
  <si>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</si>
  <si>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</si>
  <si>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</si>
  <si>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</si>
  <si>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</si>
  <si>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</si>
  <si>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</si>
  <si>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</si>
  <si>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</si>
  <si>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</si>
  <si>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</si>
  <si>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</si>
  <si>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</si>
  <si>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</si>
  <si>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</si>
  <si>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</si>
  <si>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</si>
  <si>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</si>
  <si>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</si>
  <si>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</si>
  <si>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</si>
  <si>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</si>
  <si>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</si>
  <si>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</si>
  <si>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</si>
  <si>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</si>
  <si>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</si>
  <si>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</si>
  <si>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</si>
  <si>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</si>
  <si>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</si>
  <si>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</si>
  <si>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</si>
  <si>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</si>
  <si>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</si>
  <si>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</si>
  <si>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</si>
  <si>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</si>
  <si>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</si>
  <si>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</si>
  <si>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</si>
  <si>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</si>
  <si>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</si>
  <si>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</si>
  <si>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</si>
  <si>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</si>
  <si>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</si>
  <si>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</si>
  <si>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</si>
  <si>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</si>
  <si>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</si>
  <si>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</si>
  <si>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</si>
  <si>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</si>
  <si>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</si>
  <si>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</si>
  <si>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</si>
  <si>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</si>
  <si>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</si>
  <si>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</si>
  <si>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</si>
  <si>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</si>
  <si>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</si>
  <si>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</si>
  <si>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</si>
  <si>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</si>
  <si>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</si>
  <si>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</si>
  <si>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</si>
  <si>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</si>
  <si>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</si>
  <si>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</si>
  <si>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</si>
  <si>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</si>
  <si>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</si>
  <si>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</si>
  <si>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</si>
  <si>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</si>
  <si>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</si>
  <si>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</si>
  <si>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</si>
  <si>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</si>
  <si>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</si>
  <si>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</si>
  <si>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</si>
  <si>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</si>
  <si>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</si>
  <si>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</si>
  <si>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</si>
  <si>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</si>
  <si>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</si>
  <si>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</si>
  <si>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</si>
  <si>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</si>
  <si>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</si>
  <si>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</si>
  <si>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</si>
  <si>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</si>
  <si>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</si>
  <si>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</si>
  <si>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ANDOVER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</si>
</sst>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10" zoomScaleNormal="110" workbookViewId="0">
      <pane xSplit="5" ySplit="3" topLeftCell="F514" activePane="bottomRight" state="frozen"/>
      <selection pane="topRight" activeCell="F1" sqref="F1"/>
      <selection pane="bottomLeft" activeCell="A4" sqref="A4"/>
      <selection pane="bottomRight" activeCell="H523" sqref="H52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19</v>
      </c>
      <c r="C2" s="21">
        <v>19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371506+170639</f>
        <v>542145</v>
      </c>
      <c r="G9" s="18">
        <v>433</v>
      </c>
      <c r="H9" s="18"/>
      <c r="I9" s="18"/>
      <c r="J9" s="67">
        <f>SUM(I439)</f>
        <v>154877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34232-22810</f>
        <v>11422</v>
      </c>
      <c r="G12" s="18"/>
      <c r="H12" s="18">
        <v>25178</v>
      </c>
      <c r="I12" s="18"/>
      <c r="J12" s="67">
        <f>SUM(I441)</f>
        <v>35000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2368</v>
      </c>
      <c r="H13" s="18">
        <f>20691+16875</f>
        <v>37566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353+48-210</f>
        <v>191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4376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553758</v>
      </c>
      <c r="G19" s="41">
        <f>SUM(G9:G18)</f>
        <v>7177</v>
      </c>
      <c r="H19" s="41">
        <f>SUM(H9:H18)</f>
        <v>62744</v>
      </c>
      <c r="I19" s="41">
        <f>SUM(I9:I18)</f>
        <v>0</v>
      </c>
      <c r="J19" s="41">
        <f>SUM(J9:J18)</f>
        <v>189877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35000</v>
      </c>
      <c r="G22" s="18">
        <f>28705-22810</f>
        <v>5895</v>
      </c>
      <c r="H22" s="18">
        <f>30705</f>
        <v>30705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24749</v>
      </c>
      <c r="G24" s="18">
        <v>651</v>
      </c>
      <c r="H24" s="18">
        <f>4770</f>
        <v>4770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153347+7012+81-68</f>
        <v>160372</v>
      </c>
      <c r="G28" s="18">
        <v>631</v>
      </c>
      <c r="H28" s="18">
        <v>2092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25118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220121</v>
      </c>
      <c r="G32" s="41">
        <f>SUM(G22:G31)</f>
        <v>7177</v>
      </c>
      <c r="H32" s="41">
        <f>SUM(H22:H31)</f>
        <v>62685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4376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f>-27186+22810</f>
        <v>-4376</v>
      </c>
      <c r="H48" s="18">
        <v>59</v>
      </c>
      <c r="I48" s="18"/>
      <c r="J48" s="13">
        <f>SUM(I459)</f>
        <v>189877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392027-580-22810-35000</f>
        <v>333637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333637</v>
      </c>
      <c r="G51" s="41">
        <f>SUM(G35:G50)</f>
        <v>0</v>
      </c>
      <c r="H51" s="41">
        <f>SUM(H35:H50)</f>
        <v>59</v>
      </c>
      <c r="I51" s="41">
        <f>SUM(I35:I50)</f>
        <v>0</v>
      </c>
      <c r="J51" s="41">
        <f>SUM(J35:J50)</f>
        <v>189877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553758</v>
      </c>
      <c r="G52" s="41">
        <f>G51+G32</f>
        <v>7177</v>
      </c>
      <c r="H52" s="41">
        <f>H51+H32</f>
        <v>62744</v>
      </c>
      <c r="I52" s="41">
        <f>I51+I32</f>
        <v>0</v>
      </c>
      <c r="J52" s="41">
        <f>J51+J32</f>
        <v>189877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2671796.9700000002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2671796.9700000002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12500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12500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f>209.38+1788.73</f>
        <v>1998.1100000000001</v>
      </c>
      <c r="G96" s="18">
        <v>4.3</v>
      </c>
      <c r="H96" s="18"/>
      <c r="I96" s="18"/>
      <c r="J96" s="18">
        <v>311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39178.5+0.48</f>
        <v>39178.980000000003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670.53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2668.6400000000003</v>
      </c>
      <c r="G111" s="41">
        <f>SUM(G96:G110)</f>
        <v>39183.280000000006</v>
      </c>
      <c r="H111" s="41">
        <f>SUM(H96:H110)</f>
        <v>0</v>
      </c>
      <c r="I111" s="41">
        <f>SUM(I96:I110)</f>
        <v>0</v>
      </c>
      <c r="J111" s="41">
        <f>SUM(J96:J110)</f>
        <v>311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2686965.6100000003</v>
      </c>
      <c r="G112" s="41">
        <f>G60+G111</f>
        <v>39183.280000000006</v>
      </c>
      <c r="H112" s="41">
        <f>H60+H79+H94+H111</f>
        <v>0</v>
      </c>
      <c r="I112" s="41">
        <f>I60+I111</f>
        <v>0</v>
      </c>
      <c r="J112" s="41">
        <f>J60+J111</f>
        <v>311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830235.68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567726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1397961.6800000002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59359.79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1540.99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59359.79</v>
      </c>
      <c r="G136" s="41">
        <f>SUM(G123:G135)</f>
        <v>1540.99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1457321.4700000002</v>
      </c>
      <c r="G140" s="41">
        <f>G121+SUM(G136:G137)</f>
        <v>1540.99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29030.64+79.56</f>
        <v>29110.2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10598.36+5209.14</f>
        <v>15807.5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36120.75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47486.24+11690.01-104.02</f>
        <v>59072.23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33667.24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f>7637.4+0.31</f>
        <v>7637.71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33667.24</v>
      </c>
      <c r="G162" s="41">
        <f>SUM(G150:G161)</f>
        <v>36120.75</v>
      </c>
      <c r="H162" s="41">
        <f>SUM(H150:H161)</f>
        <v>111627.64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33667.24</v>
      </c>
      <c r="G169" s="41">
        <f>G147+G162+SUM(G163:G168)</f>
        <v>36120.75</v>
      </c>
      <c r="H169" s="41">
        <f>H147+H162+SUM(H163:H168)</f>
        <v>111627.64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f>35420+22810</f>
        <v>58230</v>
      </c>
      <c r="H179" s="18"/>
      <c r="I179" s="18"/>
      <c r="J179" s="18">
        <v>35000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58230</v>
      </c>
      <c r="H183" s="41">
        <f>SUM(H179:H182)</f>
        <v>0</v>
      </c>
      <c r="I183" s="41">
        <f>SUM(I179:I182)</f>
        <v>0</v>
      </c>
      <c r="J183" s="41">
        <f>SUM(J179:J182)</f>
        <v>35000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58230</v>
      </c>
      <c r="H192" s="41">
        <f>+H183+SUM(H188:H191)</f>
        <v>0</v>
      </c>
      <c r="I192" s="41">
        <f>I177+I183+SUM(I188:I191)</f>
        <v>0</v>
      </c>
      <c r="J192" s="41">
        <f>J183</f>
        <v>35000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4177954.3200000008</v>
      </c>
      <c r="G193" s="47">
        <f>G112+G140+G169+G192</f>
        <v>135075.02000000002</v>
      </c>
      <c r="H193" s="47">
        <f>H112+H140+H169+H192</f>
        <v>111627.64</v>
      </c>
      <c r="I193" s="47">
        <f>I112+I140+I169+I192</f>
        <v>0</v>
      </c>
      <c r="J193" s="47">
        <f>J112+J140+J192</f>
        <v>35311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597462.23+112997.55+352778.01</f>
        <v>1063237.79</v>
      </c>
      <c r="G197" s="18">
        <v>568830.80000000005</v>
      </c>
      <c r="H197" s="18">
        <v>35996.720000000001</v>
      </c>
      <c r="I197" s="18">
        <v>39882.21</v>
      </c>
      <c r="J197" s="18"/>
      <c r="K197" s="18"/>
      <c r="L197" s="19">
        <f>SUM(F197:K197)</f>
        <v>1707947.52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252128.42+3810</f>
        <v>255938.42</v>
      </c>
      <c r="G198" s="18">
        <v>121526.39</v>
      </c>
      <c r="H198" s="18">
        <v>134084.1</v>
      </c>
      <c r="I198" s="18">
        <v>2255.48</v>
      </c>
      <c r="J198" s="18">
        <v>109.99</v>
      </c>
      <c r="K198" s="18">
        <v>530</v>
      </c>
      <c r="L198" s="19">
        <f>SUM(F198:K198)</f>
        <v>514444.38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12000</v>
      </c>
      <c r="G200" s="18">
        <v>2132.46</v>
      </c>
      <c r="H200" s="18">
        <v>1370</v>
      </c>
      <c r="I200" s="18">
        <v>3539.36</v>
      </c>
      <c r="J200" s="18"/>
      <c r="K200" s="18">
        <v>340</v>
      </c>
      <c r="L200" s="19">
        <f>SUM(F200:K200)</f>
        <v>19381.82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80831.12</v>
      </c>
      <c r="G202" s="18">
        <v>29732.63</v>
      </c>
      <c r="H202" s="18">
        <v>90182.84</v>
      </c>
      <c r="I202" s="18">
        <v>3671.66</v>
      </c>
      <c r="J202" s="18"/>
      <c r="K202" s="18">
        <v>105</v>
      </c>
      <c r="L202" s="19">
        <f t="shared" ref="L202:L208" si="0">SUM(F202:K202)</f>
        <v>204523.25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15013.81</v>
      </c>
      <c r="G203" s="18">
        <f>22285+12954.74</f>
        <v>35239.74</v>
      </c>
      <c r="H203" s="18">
        <v>6099</v>
      </c>
      <c r="I203" s="18">
        <v>2636.02</v>
      </c>
      <c r="J203" s="18"/>
      <c r="K203" s="18"/>
      <c r="L203" s="19">
        <f t="shared" si="0"/>
        <v>58988.569999999992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1650</v>
      </c>
      <c r="G204" s="18">
        <v>23.93</v>
      </c>
      <c r="H204" s="18">
        <v>122318.72</v>
      </c>
      <c r="I204" s="18">
        <v>541.54999999999995</v>
      </c>
      <c r="J204" s="18"/>
      <c r="K204" s="18">
        <v>2943.12</v>
      </c>
      <c r="L204" s="19">
        <f t="shared" si="0"/>
        <v>127477.31999999999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122101.96</v>
      </c>
      <c r="G205" s="18">
        <v>50945.64</v>
      </c>
      <c r="H205" s="18">
        <v>5901.8</v>
      </c>
      <c r="I205" s="18">
        <v>1094.93</v>
      </c>
      <c r="J205" s="18">
        <v>6000</v>
      </c>
      <c r="K205" s="18">
        <v>675</v>
      </c>
      <c r="L205" s="19">
        <f t="shared" si="0"/>
        <v>186719.33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70260.33</v>
      </c>
      <c r="G207" s="18">
        <v>10420.69</v>
      </c>
      <c r="H207" s="18">
        <v>42746.28</v>
      </c>
      <c r="I207" s="18">
        <v>68647.63</v>
      </c>
      <c r="J207" s="18"/>
      <c r="K207" s="18"/>
      <c r="L207" s="19">
        <f t="shared" si="0"/>
        <v>192074.93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288322.95</v>
      </c>
      <c r="I208" s="18"/>
      <c r="J208" s="18"/>
      <c r="K208" s="18"/>
      <c r="L208" s="19">
        <f t="shared" si="0"/>
        <v>288322.95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f>580-0.45</f>
        <v>579.54999999999995</v>
      </c>
      <c r="G209" s="18"/>
      <c r="H209" s="18"/>
      <c r="I209" s="18"/>
      <c r="J209" s="18"/>
      <c r="K209" s="18"/>
      <c r="L209" s="19">
        <f>SUM(F209:K209)</f>
        <v>579.54999999999995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1621612.9800000002</v>
      </c>
      <c r="G211" s="41">
        <f t="shared" si="1"/>
        <v>818852.28</v>
      </c>
      <c r="H211" s="41">
        <f t="shared" si="1"/>
        <v>727022.40999999992</v>
      </c>
      <c r="I211" s="41">
        <f t="shared" si="1"/>
        <v>122268.84000000001</v>
      </c>
      <c r="J211" s="41">
        <f t="shared" si="1"/>
        <v>6109.99</v>
      </c>
      <c r="K211" s="41">
        <f t="shared" si="1"/>
        <v>4593.12</v>
      </c>
      <c r="L211" s="41">
        <f t="shared" si="1"/>
        <v>3300459.6199999996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707601.67</v>
      </c>
      <c r="I233" s="18"/>
      <c r="J233" s="18"/>
      <c r="K233" s="18"/>
      <c r="L233" s="19">
        <f>SUM(F233:K233)</f>
        <v>707601.67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69520.28</v>
      </c>
      <c r="I234" s="18"/>
      <c r="J234" s="18"/>
      <c r="K234" s="18"/>
      <c r="L234" s="19">
        <f>SUM(F234:K234)</f>
        <v>69520.28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127170.25</v>
      </c>
      <c r="I244" s="18"/>
      <c r="J244" s="18"/>
      <c r="K244" s="18"/>
      <c r="L244" s="19">
        <f t="shared" si="4"/>
        <v>127170.25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904292.20000000007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904292.20000000007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>
        <v>6092.5</v>
      </c>
      <c r="L255" s="19">
        <f t="shared" si="6"/>
        <v>6092.5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6092.5</v>
      </c>
      <c r="L256" s="41">
        <f>SUM(F256:K256)</f>
        <v>6092.5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1621612.9800000002</v>
      </c>
      <c r="G257" s="41">
        <f t="shared" si="8"/>
        <v>818852.28</v>
      </c>
      <c r="H257" s="41">
        <f t="shared" si="8"/>
        <v>1631314.6099999999</v>
      </c>
      <c r="I257" s="41">
        <f t="shared" si="8"/>
        <v>122268.84000000001</v>
      </c>
      <c r="J257" s="41">
        <f t="shared" si="8"/>
        <v>6109.99</v>
      </c>
      <c r="K257" s="41">
        <f t="shared" si="8"/>
        <v>10685.619999999999</v>
      </c>
      <c r="L257" s="41">
        <f t="shared" si="8"/>
        <v>4210844.3199999994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f>35420+22810</f>
        <v>58230</v>
      </c>
      <c r="L263" s="19">
        <f>SUM(F263:K263)</f>
        <v>58230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35000</v>
      </c>
      <c r="L266" s="19">
        <f t="shared" si="9"/>
        <v>35000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93230</v>
      </c>
      <c r="L270" s="41">
        <f t="shared" si="9"/>
        <v>93230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1621612.9800000002</v>
      </c>
      <c r="G271" s="42">
        <f t="shared" si="11"/>
        <v>818852.28</v>
      </c>
      <c r="H271" s="42">
        <f t="shared" si="11"/>
        <v>1631314.6099999999</v>
      </c>
      <c r="I271" s="42">
        <f t="shared" si="11"/>
        <v>122268.84000000001</v>
      </c>
      <c r="J271" s="42">
        <f t="shared" si="11"/>
        <v>6109.99</v>
      </c>
      <c r="K271" s="42">
        <f t="shared" si="11"/>
        <v>103915.62</v>
      </c>
      <c r="L271" s="42">
        <f t="shared" si="11"/>
        <v>4304074.3199999994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28709.1</v>
      </c>
      <c r="G276" s="18"/>
      <c r="H276" s="18"/>
      <c r="I276" s="18"/>
      <c r="J276" s="18">
        <v>5885</v>
      </c>
      <c r="K276" s="18"/>
      <c r="L276" s="19">
        <f>SUM(F276:K276)</f>
        <v>34594.1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20323.16</v>
      </c>
      <c r="G277" s="18">
        <v>5699.1</v>
      </c>
      <c r="H277" s="18"/>
      <c r="I277" s="18">
        <v>108</v>
      </c>
      <c r="J277" s="18">
        <v>735.86</v>
      </c>
      <c r="K277" s="18"/>
      <c r="L277" s="19">
        <f>SUM(F277:K277)</f>
        <v>26866.120000000003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v>29043.23</v>
      </c>
      <c r="I281" s="18">
        <v>845.88</v>
      </c>
      <c r="J281" s="18"/>
      <c r="K281" s="18"/>
      <c r="L281" s="19">
        <f t="shared" ref="L281:L287" si="12">SUM(F281:K281)</f>
        <v>29889.11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v>10610</v>
      </c>
      <c r="I282" s="18">
        <v>640.04999999999995</v>
      </c>
      <c r="J282" s="18"/>
      <c r="K282" s="18"/>
      <c r="L282" s="19">
        <f t="shared" si="12"/>
        <v>11250.05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1390.55</v>
      </c>
      <c r="L285" s="19">
        <f t="shared" si="12"/>
        <v>1390.55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49032.259999999995</v>
      </c>
      <c r="G290" s="42">
        <f t="shared" si="13"/>
        <v>5699.1</v>
      </c>
      <c r="H290" s="42">
        <f t="shared" si="13"/>
        <v>39653.229999999996</v>
      </c>
      <c r="I290" s="42">
        <f t="shared" si="13"/>
        <v>1593.9299999999998</v>
      </c>
      <c r="J290" s="42">
        <f t="shared" si="13"/>
        <v>6620.86</v>
      </c>
      <c r="K290" s="42">
        <f t="shared" si="13"/>
        <v>1390.55</v>
      </c>
      <c r="L290" s="41">
        <f t="shared" si="13"/>
        <v>103989.93000000001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>
        <v>6000</v>
      </c>
      <c r="I332" s="18">
        <f>1577.4+1.31</f>
        <v>1578.71</v>
      </c>
      <c r="J332" s="18"/>
      <c r="K332" s="18"/>
      <c r="L332" s="19">
        <f t="shared" ref="L332:L337" si="18">SUM(F332:K332)</f>
        <v>7578.71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6000</v>
      </c>
      <c r="I337" s="41">
        <f t="shared" si="19"/>
        <v>1578.71</v>
      </c>
      <c r="J337" s="41">
        <f t="shared" si="19"/>
        <v>0</v>
      </c>
      <c r="K337" s="41">
        <f t="shared" si="19"/>
        <v>0</v>
      </c>
      <c r="L337" s="41">
        <f t="shared" si="18"/>
        <v>7578.71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49032.259999999995</v>
      </c>
      <c r="G338" s="41">
        <f t="shared" si="20"/>
        <v>5699.1</v>
      </c>
      <c r="H338" s="41">
        <f t="shared" si="20"/>
        <v>45653.229999999996</v>
      </c>
      <c r="I338" s="41">
        <f t="shared" si="20"/>
        <v>3172.64</v>
      </c>
      <c r="J338" s="41">
        <f t="shared" si="20"/>
        <v>6620.86</v>
      </c>
      <c r="K338" s="41">
        <f t="shared" si="20"/>
        <v>1390.55</v>
      </c>
      <c r="L338" s="41">
        <f t="shared" si="20"/>
        <v>111568.64000000001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49032.259999999995</v>
      </c>
      <c r="G352" s="41">
        <f>G338</f>
        <v>5699.1</v>
      </c>
      <c r="H352" s="41">
        <f>H338</f>
        <v>45653.229999999996</v>
      </c>
      <c r="I352" s="41">
        <f>I338</f>
        <v>3172.64</v>
      </c>
      <c r="J352" s="41">
        <f>J338</f>
        <v>6620.86</v>
      </c>
      <c r="K352" s="47">
        <f>K338+K351</f>
        <v>1390.55</v>
      </c>
      <c r="L352" s="41">
        <f>L338+L351</f>
        <v>111568.64000000001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37515.699999999997</v>
      </c>
      <c r="G358" s="18">
        <v>26186.75</v>
      </c>
      <c r="H358" s="18">
        <v>5114.51</v>
      </c>
      <c r="I358" s="18">
        <f>67835.14</f>
        <v>67835.14</v>
      </c>
      <c r="J358" s="18">
        <v>7283.92</v>
      </c>
      <c r="K358" s="18"/>
      <c r="L358" s="13">
        <f>SUM(F358:K358)</f>
        <v>143936.01999999999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37515.699999999997</v>
      </c>
      <c r="G362" s="47">
        <f t="shared" si="22"/>
        <v>26186.75</v>
      </c>
      <c r="H362" s="47">
        <f t="shared" si="22"/>
        <v>5114.51</v>
      </c>
      <c r="I362" s="47">
        <f t="shared" si="22"/>
        <v>67835.14</v>
      </c>
      <c r="J362" s="47">
        <f t="shared" si="22"/>
        <v>7283.92</v>
      </c>
      <c r="K362" s="47">
        <f t="shared" si="22"/>
        <v>0</v>
      </c>
      <c r="L362" s="47">
        <f t="shared" si="22"/>
        <v>143936.01999999999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63747.61</f>
        <v>63747.61</v>
      </c>
      <c r="G367" s="18"/>
      <c r="H367" s="18"/>
      <c r="I367" s="56">
        <f>SUM(F367:H367)</f>
        <v>63747.61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4054.99+32.54</f>
        <v>4087.5299999999997</v>
      </c>
      <c r="G368" s="63"/>
      <c r="H368" s="63"/>
      <c r="I368" s="56">
        <f>SUM(F368:H368)</f>
        <v>4087.5299999999997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67835.14</v>
      </c>
      <c r="G369" s="47">
        <f>SUM(G367:G368)</f>
        <v>0</v>
      </c>
      <c r="H369" s="47">
        <f>SUM(H367:H368)</f>
        <v>0</v>
      </c>
      <c r="I369" s="47">
        <f>SUM(I367:I368)</f>
        <v>67835.14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26</v>
      </c>
      <c r="I396" s="18"/>
      <c r="J396" s="24" t="s">
        <v>289</v>
      </c>
      <c r="K396" s="24" t="s">
        <v>289</v>
      </c>
      <c r="L396" s="56">
        <f t="shared" si="26"/>
        <v>26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10000</v>
      </c>
      <c r="H397" s="18">
        <v>179</v>
      </c>
      <c r="I397" s="18"/>
      <c r="J397" s="24" t="s">
        <v>289</v>
      </c>
      <c r="K397" s="24" t="s">
        <v>289</v>
      </c>
      <c r="L397" s="56">
        <f t="shared" si="26"/>
        <v>10179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25000</v>
      </c>
      <c r="H398" s="18">
        <v>106</v>
      </c>
      <c r="I398" s="18"/>
      <c r="J398" s="24" t="s">
        <v>289</v>
      </c>
      <c r="K398" s="24" t="s">
        <v>289</v>
      </c>
      <c r="L398" s="56">
        <f t="shared" si="26"/>
        <v>25106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35000</v>
      </c>
      <c r="H401" s="47">
        <f>SUM(H395:H400)</f>
        <v>311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35311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35000</v>
      </c>
      <c r="H408" s="47">
        <f>H393+H401+H407</f>
        <v>311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35311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154877</v>
      </c>
      <c r="H439" s="18"/>
      <c r="I439" s="56">
        <f t="shared" ref="I439:I445" si="33">SUM(F439:H439)</f>
        <v>154877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>
        <f>25000+10000</f>
        <v>35000</v>
      </c>
      <c r="H441" s="18"/>
      <c r="I441" s="56">
        <f t="shared" si="33"/>
        <v>35000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189877</v>
      </c>
      <c r="H446" s="13">
        <f>SUM(H439:H445)</f>
        <v>0</v>
      </c>
      <c r="I446" s="13">
        <f>SUM(I439:I445)</f>
        <v>189877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f>35000+154877</f>
        <v>189877</v>
      </c>
      <c r="H459" s="18"/>
      <c r="I459" s="56">
        <f t="shared" si="34"/>
        <v>189877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189877</v>
      </c>
      <c r="H460" s="83">
        <f>SUM(H454:H459)</f>
        <v>0</v>
      </c>
      <c r="I460" s="83">
        <f>SUM(I454:I459)</f>
        <v>189877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189877</v>
      </c>
      <c r="H461" s="42">
        <f>H452+H460</f>
        <v>0</v>
      </c>
      <c r="I461" s="42">
        <f>I452+I460</f>
        <v>189877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459757</v>
      </c>
      <c r="G465" s="18">
        <v>8861</v>
      </c>
      <c r="H465" s="18">
        <v>0</v>
      </c>
      <c r="I465" s="18"/>
      <c r="J465" s="18">
        <v>154566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4177954.3200000008</v>
      </c>
      <c r="G468" s="18">
        <f t="shared" ref="G468:J468" si="35">G193</f>
        <v>135075.02000000002</v>
      </c>
      <c r="H468" s="18">
        <f t="shared" si="35"/>
        <v>111627.64</v>
      </c>
      <c r="I468" s="18">
        <f t="shared" si="35"/>
        <v>0</v>
      </c>
      <c r="J468" s="18">
        <f t="shared" si="35"/>
        <v>35311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4177954.3200000008</v>
      </c>
      <c r="G470" s="53">
        <f>SUM(G468:G469)</f>
        <v>135075.02000000002</v>
      </c>
      <c r="H470" s="53">
        <f>SUM(H468:H469)</f>
        <v>111627.64</v>
      </c>
      <c r="I470" s="53">
        <f>SUM(I468:I469)</f>
        <v>0</v>
      </c>
      <c r="J470" s="53">
        <f>SUM(J468:J469)</f>
        <v>35311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4304074.3199999994</v>
      </c>
      <c r="G472" s="18">
        <f>L362</f>
        <v>143936.01999999999</v>
      </c>
      <c r="H472" s="18">
        <f>L352</f>
        <v>111568.64000000001</v>
      </c>
      <c r="I472" s="18">
        <f>L382</f>
        <v>0</v>
      </c>
      <c r="J472" s="18">
        <f>L434</f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4304074.3199999994</v>
      </c>
      <c r="G474" s="53">
        <f>SUM(G472:G473)</f>
        <v>143936.01999999999</v>
      </c>
      <c r="H474" s="53">
        <f>SUM(H472:H473)</f>
        <v>111568.64000000001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333637.00000000093</v>
      </c>
      <c r="G476" s="53">
        <f>(G465+G470)- G474</f>
        <v>0</v>
      </c>
      <c r="H476" s="53">
        <f>(H465+H470)- H474</f>
        <v>58.999999999985448</v>
      </c>
      <c r="I476" s="53">
        <f>(I465+I470)- I474</f>
        <v>0</v>
      </c>
      <c r="J476" s="53">
        <f>(J465+J470)- J474</f>
        <v>189877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6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6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6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6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6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6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6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6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255938.42+20323.16</f>
        <v>276261.58</v>
      </c>
      <c r="G521" s="18">
        <f>121526.39+5699.1</f>
        <v>127225.49</v>
      </c>
      <c r="H521" s="18">
        <v>203604.38</v>
      </c>
      <c r="I521" s="18">
        <f>2255.48+108</f>
        <v>2363.48</v>
      </c>
      <c r="J521" s="18">
        <f>109.99+735.86</f>
        <v>845.85</v>
      </c>
      <c r="K521" s="18">
        <v>530</v>
      </c>
      <c r="L521" s="88">
        <f>SUM(F521:K521)</f>
        <v>610830.77999999991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69520.28</v>
      </c>
      <c r="I523" s="18"/>
      <c r="J523" s="18"/>
      <c r="K523" s="18"/>
      <c r="L523" s="88">
        <f>SUM(F523:K523)</f>
        <v>69520.28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276261.58</v>
      </c>
      <c r="G524" s="108">
        <f t="shared" ref="G524:L524" si="37">SUM(G521:G523)</f>
        <v>127225.49</v>
      </c>
      <c r="H524" s="108">
        <f t="shared" si="37"/>
        <v>273124.66000000003</v>
      </c>
      <c r="I524" s="108">
        <f t="shared" si="37"/>
        <v>2363.48</v>
      </c>
      <c r="J524" s="108">
        <f t="shared" si="37"/>
        <v>845.85</v>
      </c>
      <c r="K524" s="108">
        <f t="shared" si="37"/>
        <v>530</v>
      </c>
      <c r="L524" s="89">
        <f t="shared" si="37"/>
        <v>680351.05999999994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f>90182.84-3367.24+19043.23</f>
        <v>105858.82999999999</v>
      </c>
      <c r="I526" s="18">
        <v>845.88</v>
      </c>
      <c r="J526" s="18"/>
      <c r="K526" s="18"/>
      <c r="L526" s="88">
        <f>SUM(F526:K526)</f>
        <v>106704.70999999999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105858.82999999999</v>
      </c>
      <c r="I529" s="89">
        <f t="shared" si="38"/>
        <v>845.88</v>
      </c>
      <c r="J529" s="89">
        <f t="shared" si="38"/>
        <v>0</v>
      </c>
      <c r="K529" s="89">
        <f t="shared" si="38"/>
        <v>0</v>
      </c>
      <c r="L529" s="89">
        <f t="shared" si="38"/>
        <v>106704.70999999999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3367.24</v>
      </c>
      <c r="I531" s="18"/>
      <c r="J531" s="18"/>
      <c r="K531" s="18"/>
      <c r="L531" s="88">
        <f>SUM(F531:K531)</f>
        <v>3367.24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9">SUM(G531:G533)</f>
        <v>0</v>
      </c>
      <c r="H534" s="89">
        <f t="shared" si="39"/>
        <v>3367.24</v>
      </c>
      <c r="I534" s="89">
        <f t="shared" si="39"/>
        <v>0</v>
      </c>
      <c r="J534" s="89">
        <f t="shared" si="39"/>
        <v>0</v>
      </c>
      <c r="K534" s="89">
        <f t="shared" si="39"/>
        <v>0</v>
      </c>
      <c r="L534" s="89">
        <f t="shared" si="39"/>
        <v>3367.24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1738.19</v>
      </c>
      <c r="I536" s="18"/>
      <c r="J536" s="18"/>
      <c r="K536" s="18"/>
      <c r="L536" s="88">
        <f>SUM(F536:K536)</f>
        <v>1738.19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1738.19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1738.19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116250.41</v>
      </c>
      <c r="I541" s="18"/>
      <c r="J541" s="18"/>
      <c r="K541" s="18"/>
      <c r="L541" s="88">
        <f>SUM(F541:K541)</f>
        <v>116250.41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1">SUM(G541:G543)</f>
        <v>0</v>
      </c>
      <c r="H544" s="193">
        <f t="shared" si="41"/>
        <v>116250.41</v>
      </c>
      <c r="I544" s="193">
        <f t="shared" si="41"/>
        <v>0</v>
      </c>
      <c r="J544" s="193">
        <f t="shared" si="41"/>
        <v>0</v>
      </c>
      <c r="K544" s="193">
        <f t="shared" si="41"/>
        <v>0</v>
      </c>
      <c r="L544" s="193">
        <f t="shared" si="41"/>
        <v>116250.41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276261.58</v>
      </c>
      <c r="G545" s="89">
        <f t="shared" ref="G545:L545" si="42">G524+G529+G534+G539+G544</f>
        <v>127225.49</v>
      </c>
      <c r="H545" s="89">
        <f t="shared" si="42"/>
        <v>500339.32999999996</v>
      </c>
      <c r="I545" s="89">
        <f t="shared" si="42"/>
        <v>3209.36</v>
      </c>
      <c r="J545" s="89">
        <f t="shared" si="42"/>
        <v>845.85</v>
      </c>
      <c r="K545" s="89">
        <f t="shared" si="42"/>
        <v>530</v>
      </c>
      <c r="L545" s="89">
        <f t="shared" si="42"/>
        <v>908411.60999999987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610830.77999999991</v>
      </c>
      <c r="G549" s="87">
        <f>L526</f>
        <v>106704.70999999999</v>
      </c>
      <c r="H549" s="87">
        <f>L531</f>
        <v>3367.24</v>
      </c>
      <c r="I549" s="87">
        <f>L536</f>
        <v>1738.19</v>
      </c>
      <c r="J549" s="87">
        <f>L541</f>
        <v>116250.41</v>
      </c>
      <c r="K549" s="87">
        <f>SUM(F549:J549)</f>
        <v>838891.32999999984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69520.28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69520.28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3">SUM(F549:F551)</f>
        <v>680351.05999999994</v>
      </c>
      <c r="G552" s="89">
        <f t="shared" si="43"/>
        <v>106704.70999999999</v>
      </c>
      <c r="H552" s="89">
        <f t="shared" si="43"/>
        <v>3367.24</v>
      </c>
      <c r="I552" s="89">
        <f t="shared" si="43"/>
        <v>1738.19</v>
      </c>
      <c r="J552" s="89">
        <f t="shared" si="43"/>
        <v>116250.41</v>
      </c>
      <c r="K552" s="89">
        <f t="shared" si="43"/>
        <v>908411.60999999987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4">SUM(F557:F559)</f>
        <v>0</v>
      </c>
      <c r="G560" s="108">
        <f t="shared" si="44"/>
        <v>0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5">SUM(F562:F564)</f>
        <v>0</v>
      </c>
      <c r="G565" s="89">
        <f t="shared" si="45"/>
        <v>0</v>
      </c>
      <c r="H565" s="89">
        <f t="shared" si="45"/>
        <v>0</v>
      </c>
      <c r="I565" s="89">
        <f t="shared" si="45"/>
        <v>0</v>
      </c>
      <c r="J565" s="89">
        <f t="shared" si="45"/>
        <v>0</v>
      </c>
      <c r="K565" s="89">
        <f t="shared" si="45"/>
        <v>0</v>
      </c>
      <c r="L565" s="89">
        <f t="shared" si="45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6">SUM(G567:G569)</f>
        <v>0</v>
      </c>
      <c r="H570" s="193">
        <f t="shared" si="46"/>
        <v>0</v>
      </c>
      <c r="I570" s="193">
        <f t="shared" si="46"/>
        <v>0</v>
      </c>
      <c r="J570" s="193">
        <f t="shared" si="46"/>
        <v>0</v>
      </c>
      <c r="K570" s="193">
        <f t="shared" si="46"/>
        <v>0</v>
      </c>
      <c r="L570" s="193">
        <f t="shared" si="46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7">G560+G565+G570</f>
        <v>0</v>
      </c>
      <c r="H571" s="89">
        <f t="shared" si="47"/>
        <v>0</v>
      </c>
      <c r="I571" s="89">
        <f t="shared" si="47"/>
        <v>0</v>
      </c>
      <c r="J571" s="89">
        <f t="shared" si="47"/>
        <v>0</v>
      </c>
      <c r="K571" s="89">
        <f t="shared" si="47"/>
        <v>0</v>
      </c>
      <c r="L571" s="89">
        <f t="shared" si="47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707601.67</v>
      </c>
      <c r="I575" s="87">
        <f>SUM(F575:H575)</f>
        <v>707601.67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8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8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8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133263.4</v>
      </c>
      <c r="G579" s="18"/>
      <c r="H579" s="18">
        <v>59520.28</v>
      </c>
      <c r="I579" s="87">
        <f t="shared" si="48"/>
        <v>192783.68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8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8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8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8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8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8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8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8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163213.5</v>
      </c>
      <c r="I591" s="18"/>
      <c r="J591" s="18">
        <v>127170.25</v>
      </c>
      <c r="K591" s="104">
        <f t="shared" ref="K591:K597" si="49">SUM(H591:J591)</f>
        <v>290383.75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116250.41</v>
      </c>
      <c r="I592" s="18"/>
      <c r="J592" s="18"/>
      <c r="K592" s="104">
        <f t="shared" si="49"/>
        <v>116250.41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9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4464.07</v>
      </c>
      <c r="I594" s="18"/>
      <c r="J594" s="18"/>
      <c r="K594" s="104">
        <f t="shared" si="49"/>
        <v>4464.07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4394.97</v>
      </c>
      <c r="I595" s="18"/>
      <c r="J595" s="18"/>
      <c r="K595" s="104">
        <f t="shared" si="49"/>
        <v>4394.97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9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288322.95</v>
      </c>
      <c r="I598" s="108">
        <f>SUM(I591:I597)</f>
        <v>0</v>
      </c>
      <c r="J598" s="108">
        <f>SUM(J591:J597)</f>
        <v>127170.25</v>
      </c>
      <c r="K598" s="108">
        <f>SUM(K591:K597)</f>
        <v>415493.2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6109.99+6620.86</f>
        <v>12730.849999999999</v>
      </c>
      <c r="I604" s="18"/>
      <c r="J604" s="18"/>
      <c r="K604" s="104">
        <f>SUM(H604:J604)</f>
        <v>12730.849999999999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12730.849999999999</v>
      </c>
      <c r="I605" s="108">
        <f>SUM(I602:I604)</f>
        <v>0</v>
      </c>
      <c r="J605" s="108">
        <f>SUM(J602:J604)</f>
        <v>0</v>
      </c>
      <c r="K605" s="108">
        <f>SUM(K602:K604)</f>
        <v>12730.849999999999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50">SUM(F611:F613)</f>
        <v>0</v>
      </c>
      <c r="G614" s="108">
        <f t="shared" si="50"/>
        <v>0</v>
      </c>
      <c r="H614" s="108">
        <f t="shared" si="50"/>
        <v>0</v>
      </c>
      <c r="I614" s="108">
        <f t="shared" si="50"/>
        <v>0</v>
      </c>
      <c r="J614" s="108">
        <f t="shared" si="50"/>
        <v>0</v>
      </c>
      <c r="K614" s="108">
        <f t="shared" si="50"/>
        <v>0</v>
      </c>
      <c r="L614" s="89">
        <f t="shared" si="50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553758</v>
      </c>
      <c r="H617" s="109">
        <f>SUM(F52)</f>
        <v>553758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7177</v>
      </c>
      <c r="H618" s="109">
        <f>SUM(G52)</f>
        <v>7177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62744</v>
      </c>
      <c r="H619" s="109">
        <f>SUM(H52)</f>
        <v>62744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189877</v>
      </c>
      <c r="H621" s="109">
        <f>SUM(J52)</f>
        <v>189877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333637</v>
      </c>
      <c r="H622" s="109">
        <f>F476</f>
        <v>333637.00000000093</v>
      </c>
      <c r="I622" s="121" t="s">
        <v>101</v>
      </c>
      <c r="J622" s="109">
        <f t="shared" ref="J622:J655" si="51">G622-H622</f>
        <v>-9.3132257461547852E-10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1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59</v>
      </c>
      <c r="H624" s="109">
        <f>H476</f>
        <v>58.999999999985448</v>
      </c>
      <c r="I624" s="121" t="s">
        <v>103</v>
      </c>
      <c r="J624" s="109">
        <f t="shared" si="51"/>
        <v>1.4551915228366852E-11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1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189877</v>
      </c>
      <c r="H626" s="109">
        <f>J476</f>
        <v>189877</v>
      </c>
      <c r="I626" s="140" t="s">
        <v>105</v>
      </c>
      <c r="J626" s="109">
        <f t="shared" si="51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4177954.3200000008</v>
      </c>
      <c r="H627" s="104">
        <f>SUM(F468)</f>
        <v>4177954.3200000008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135075.02000000002</v>
      </c>
      <c r="H628" s="104">
        <f>SUM(G468)</f>
        <v>135075.02000000002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111627.64</v>
      </c>
      <c r="H629" s="104">
        <f>SUM(H468)</f>
        <v>111627.64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35311</v>
      </c>
      <c r="H631" s="104">
        <f>SUM(J468)</f>
        <v>35311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4304074.3199999994</v>
      </c>
      <c r="H632" s="104">
        <f>SUM(F472)</f>
        <v>4304074.3199999994</v>
      </c>
      <c r="I632" s="140" t="s">
        <v>111</v>
      </c>
      <c r="J632" s="109">
        <f t="shared" si="51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111568.64000000001</v>
      </c>
      <c r="H633" s="104">
        <f>SUM(H472)</f>
        <v>111568.64000000001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67835.14</v>
      </c>
      <c r="H634" s="104">
        <f>I369</f>
        <v>67835.14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143936.01999999999</v>
      </c>
      <c r="H635" s="104">
        <f>SUM(G472)</f>
        <v>143936.01999999999</v>
      </c>
      <c r="I635" s="140" t="s">
        <v>114</v>
      </c>
      <c r="J635" s="109">
        <f t="shared" si="51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1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35311</v>
      </c>
      <c r="H637" s="164">
        <f>SUM(J468)</f>
        <v>35311</v>
      </c>
      <c r="I637" s="165" t="s">
        <v>110</v>
      </c>
      <c r="J637" s="151">
        <f t="shared" si="51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1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189877</v>
      </c>
      <c r="H640" s="104">
        <f>SUM(G461)</f>
        <v>189877</v>
      </c>
      <c r="I640" s="140" t="s">
        <v>858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189877</v>
      </c>
      <c r="H642" s="104">
        <f>SUM(I461)</f>
        <v>189877</v>
      </c>
      <c r="I642" s="140" t="s">
        <v>860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311</v>
      </c>
      <c r="H644" s="104">
        <f>H408</f>
        <v>311</v>
      </c>
      <c r="I644" s="140" t="s">
        <v>481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35000</v>
      </c>
      <c r="H645" s="104">
        <f>G408</f>
        <v>35000</v>
      </c>
      <c r="I645" s="140" t="s">
        <v>482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35311</v>
      </c>
      <c r="H646" s="104">
        <f>L408</f>
        <v>35311</v>
      </c>
      <c r="I646" s="140" t="s">
        <v>478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415493.2</v>
      </c>
      <c r="H647" s="104">
        <f>L208+L226+L244</f>
        <v>415493.2</v>
      </c>
      <c r="I647" s="140" t="s">
        <v>397</v>
      </c>
      <c r="J647" s="109">
        <f t="shared" si="51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12730.849999999999</v>
      </c>
      <c r="H648" s="104">
        <f>(J257+J338)-(J255+J336)</f>
        <v>12730.849999999999</v>
      </c>
      <c r="I648" s="140" t="s">
        <v>703</v>
      </c>
      <c r="J648" s="109">
        <f t="shared" si="51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288322.95</v>
      </c>
      <c r="H649" s="104">
        <f>H598</f>
        <v>288322.95</v>
      </c>
      <c r="I649" s="140" t="s">
        <v>389</v>
      </c>
      <c r="J649" s="109">
        <f t="shared" si="51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1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127170.25</v>
      </c>
      <c r="H651" s="104">
        <f>J598</f>
        <v>127170.25</v>
      </c>
      <c r="I651" s="140" t="s">
        <v>391</v>
      </c>
      <c r="J651" s="109">
        <f t="shared" si="51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58230</v>
      </c>
      <c r="H652" s="104">
        <f>K263+K345</f>
        <v>58230</v>
      </c>
      <c r="I652" s="140" t="s">
        <v>398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35000</v>
      </c>
      <c r="H655" s="104">
        <f>K266+K347</f>
        <v>35000</v>
      </c>
      <c r="I655" s="140" t="s">
        <v>401</v>
      </c>
      <c r="J655" s="109">
        <f t="shared" si="51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3548385.57</v>
      </c>
      <c r="G660" s="19">
        <f>(L229+L309+L359)</f>
        <v>0</v>
      </c>
      <c r="H660" s="19">
        <f>(L247+L328+L360)</f>
        <v>904292.20000000007</v>
      </c>
      <c r="I660" s="19">
        <f>SUM(F660:H660)</f>
        <v>4452677.7699999996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39178.980000000003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39178.980000000003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288322.95</v>
      </c>
      <c r="G662" s="19">
        <f>(L226+L306)-(J226+J306)</f>
        <v>0</v>
      </c>
      <c r="H662" s="19">
        <f>(L244+L325)-(J244+J325)</f>
        <v>127170.25</v>
      </c>
      <c r="I662" s="19">
        <f>SUM(F662:H662)</f>
        <v>415493.2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145994.25</v>
      </c>
      <c r="G663" s="199">
        <f>SUM(G575:G587)+SUM(I602:I604)+L612</f>
        <v>0</v>
      </c>
      <c r="H663" s="199">
        <f>SUM(H575:H587)+SUM(J602:J604)+L613</f>
        <v>767121.95000000007</v>
      </c>
      <c r="I663" s="19">
        <f>SUM(F663:H663)</f>
        <v>913116.20000000007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3074889.3899999997</v>
      </c>
      <c r="G664" s="19">
        <f>G660-SUM(G661:G663)</f>
        <v>0</v>
      </c>
      <c r="H664" s="19">
        <f>H660-SUM(H661:H663)</f>
        <v>10000</v>
      </c>
      <c r="I664" s="19">
        <f>I660-SUM(I661:I663)</f>
        <v>3084889.3899999997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238.17</v>
      </c>
      <c r="G665" s="248"/>
      <c r="H665" s="248"/>
      <c r="I665" s="19">
        <f>SUM(F665:H665)</f>
        <v>238.17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12910.48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12952.47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-10000</v>
      </c>
      <c r="I669" s="19">
        <f>SUM(F669:H669)</f>
        <v>-10000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12910.48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12910.48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4"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ANDOVER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1091946.8900000001</v>
      </c>
      <c r="C9" s="229">
        <f>'DOE25'!G197+'DOE25'!G215+'DOE25'!G233+'DOE25'!G276+'DOE25'!G295+'DOE25'!G314</f>
        <v>568830.80000000005</v>
      </c>
    </row>
    <row r="10" spans="1:3" x14ac:dyDescent="0.2">
      <c r="A10" t="s">
        <v>779</v>
      </c>
      <c r="B10" s="240">
        <f>112997.55+536626.01+352778.01+28709.1</f>
        <v>1031110.67</v>
      </c>
      <c r="C10" s="240">
        <f>29459.97+305391.51+1506+2035.21+5276.24+144223.15+80938.72-2441.66-2212.31</f>
        <v>564176.82999999984</v>
      </c>
    </row>
    <row r="11" spans="1:3" x14ac:dyDescent="0.2">
      <c r="A11" t="s">
        <v>780</v>
      </c>
      <c r="B11" s="240">
        <v>31917.07</v>
      </c>
      <c r="C11" s="240">
        <v>2441.66</v>
      </c>
    </row>
    <row r="12" spans="1:3" x14ac:dyDescent="0.2">
      <c r="A12" t="s">
        <v>781</v>
      </c>
      <c r="B12" s="240">
        <f>28919.15</f>
        <v>28919.15</v>
      </c>
      <c r="C12" s="240">
        <v>2212.31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1091946.8899999999</v>
      </c>
      <c r="C13" s="231">
        <f>SUM(C10:C12)</f>
        <v>568830.79999999993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276261.58</v>
      </c>
      <c r="C18" s="229">
        <f>'DOE25'!G198+'DOE25'!G216+'DOE25'!G234+'DOE25'!G277+'DOE25'!G296+'DOE25'!G315</f>
        <v>127225.49</v>
      </c>
    </row>
    <row r="19" spans="1:3" x14ac:dyDescent="0.2">
      <c r="A19" t="s">
        <v>779</v>
      </c>
      <c r="B19" s="240">
        <f>14700.14+58800.86+124208+1987.1+2400</f>
        <v>202096.1</v>
      </c>
      <c r="C19" s="240">
        <f>35839.83+31268.86+407.56+545.87+19113.42+5074.55+28909.19-5135.64+1856.98+1539.82+2302.3-430.16</f>
        <v>121292.58</v>
      </c>
    </row>
    <row r="20" spans="1:3" x14ac:dyDescent="0.2">
      <c r="A20" t="s">
        <v>780</v>
      </c>
      <c r="B20" s="240">
        <f>5623.02+3809.1+63323.36</f>
        <v>72755.48</v>
      </c>
      <c r="C20" s="240">
        <f>291.4+4844.24+430.16</f>
        <v>5565.7999999999993</v>
      </c>
    </row>
    <row r="21" spans="1:3" x14ac:dyDescent="0.2">
      <c r="A21" t="s">
        <v>781</v>
      </c>
      <c r="B21" s="240">
        <v>1410</v>
      </c>
      <c r="C21" s="240">
        <f>183.6+183.51</f>
        <v>367.11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276261.58</v>
      </c>
      <c r="C22" s="231">
        <f>SUM(C19:C21)</f>
        <v>127225.49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12000</v>
      </c>
      <c r="C36" s="235">
        <f>'DOE25'!G200+'DOE25'!G218+'DOE25'!G236+'DOE25'!G279+'DOE25'!G298+'DOE25'!G317</f>
        <v>2132.46</v>
      </c>
    </row>
    <row r="37" spans="1:3" x14ac:dyDescent="0.2">
      <c r="A37" t="s">
        <v>779</v>
      </c>
      <c r="B37" s="240">
        <v>12000</v>
      </c>
      <c r="C37" s="240">
        <f>918.02+1214.44</f>
        <v>2132.46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12000</v>
      </c>
      <c r="C40" s="231">
        <f>SUM(C37:C39)</f>
        <v>2132.46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ANDOVER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3018895.67</v>
      </c>
      <c r="D5" s="20">
        <f>SUM('DOE25'!L197:L200)+SUM('DOE25'!L215:L218)+SUM('DOE25'!L233:L236)-F5-G5</f>
        <v>3017915.6799999997</v>
      </c>
      <c r="E5" s="243"/>
      <c r="F5" s="255">
        <f>SUM('DOE25'!J197:J200)+SUM('DOE25'!J215:J218)+SUM('DOE25'!J233:J236)</f>
        <v>109.99</v>
      </c>
      <c r="G5" s="53">
        <f>SUM('DOE25'!K197:K200)+SUM('DOE25'!K215:K218)+SUM('DOE25'!K233:K236)</f>
        <v>870</v>
      </c>
      <c r="H5" s="259"/>
    </row>
    <row r="6" spans="1:9" x14ac:dyDescent="0.2">
      <c r="A6" s="32">
        <v>2100</v>
      </c>
      <c r="B6" t="s">
        <v>801</v>
      </c>
      <c r="C6" s="245">
        <f t="shared" si="0"/>
        <v>204523.25</v>
      </c>
      <c r="D6" s="20">
        <f>'DOE25'!L202+'DOE25'!L220+'DOE25'!L238-F6-G6</f>
        <v>204418.25</v>
      </c>
      <c r="E6" s="243"/>
      <c r="F6" s="255">
        <f>'DOE25'!J202+'DOE25'!J220+'DOE25'!J238</f>
        <v>0</v>
      </c>
      <c r="G6" s="53">
        <f>'DOE25'!K202+'DOE25'!K220+'DOE25'!K238</f>
        <v>105</v>
      </c>
      <c r="H6" s="259"/>
    </row>
    <row r="7" spans="1:9" x14ac:dyDescent="0.2">
      <c r="A7" s="32">
        <v>2200</v>
      </c>
      <c r="B7" t="s">
        <v>834</v>
      </c>
      <c r="C7" s="245">
        <f t="shared" si="0"/>
        <v>58988.569999999992</v>
      </c>
      <c r="D7" s="20">
        <f>'DOE25'!L203+'DOE25'!L221+'DOE25'!L239-F7-G7</f>
        <v>58988.569999999992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72409.399999999994</v>
      </c>
      <c r="D8" s="243"/>
      <c r="E8" s="20">
        <f>'DOE25'!L204+'DOE25'!L222+'DOE25'!L240-F8-G8-D9-D11</f>
        <v>69466.28</v>
      </c>
      <c r="F8" s="255">
        <f>'DOE25'!J204+'DOE25'!J222+'DOE25'!J240</f>
        <v>0</v>
      </c>
      <c r="G8" s="53">
        <f>'DOE25'!K204+'DOE25'!K222+'DOE25'!K240</f>
        <v>2943.12</v>
      </c>
      <c r="H8" s="259"/>
    </row>
    <row r="9" spans="1:9" x14ac:dyDescent="0.2">
      <c r="A9" s="32">
        <v>2310</v>
      </c>
      <c r="B9" t="s">
        <v>818</v>
      </c>
      <c r="C9" s="245">
        <f t="shared" si="0"/>
        <v>8135.92</v>
      </c>
      <c r="D9" s="244">
        <v>8135.92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3750</v>
      </c>
      <c r="D10" s="243"/>
      <c r="E10" s="244">
        <v>3750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46932</v>
      </c>
      <c r="D11" s="244">
        <v>46932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186719.33</v>
      </c>
      <c r="D12" s="20">
        <f>'DOE25'!L205+'DOE25'!L223+'DOE25'!L241-F12-G12</f>
        <v>180044.33</v>
      </c>
      <c r="E12" s="243"/>
      <c r="F12" s="255">
        <f>'DOE25'!J205+'DOE25'!J223+'DOE25'!J241</f>
        <v>6000</v>
      </c>
      <c r="G12" s="53">
        <f>'DOE25'!K205+'DOE25'!K223+'DOE25'!K241</f>
        <v>675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192074.93</v>
      </c>
      <c r="D14" s="20">
        <f>'DOE25'!L207+'DOE25'!L225+'DOE25'!L243-F14-G14</f>
        <v>192074.93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415493.2</v>
      </c>
      <c r="D15" s="20">
        <f>'DOE25'!L208+'DOE25'!L226+'DOE25'!L244-F15-G15</f>
        <v>415493.2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579.54999999999995</v>
      </c>
      <c r="D16" s="243"/>
      <c r="E16" s="20">
        <f>'DOE25'!L209+'DOE25'!L227+'DOE25'!L245-F16-G16</f>
        <v>579.54999999999995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6092.5</v>
      </c>
      <c r="D22" s="243"/>
      <c r="E22" s="243"/>
      <c r="F22" s="255">
        <f>'DOE25'!L255+'DOE25'!L336</f>
        <v>6092.5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80188.409999999989</v>
      </c>
      <c r="D29" s="20">
        <f>'DOE25'!L358+'DOE25'!L359+'DOE25'!L360-'DOE25'!I367-F29-G29</f>
        <v>72904.489999999991</v>
      </c>
      <c r="E29" s="243"/>
      <c r="F29" s="255">
        <f>'DOE25'!J358+'DOE25'!J359+'DOE25'!J360</f>
        <v>7283.92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103989.93000000001</v>
      </c>
      <c r="D31" s="20">
        <f>'DOE25'!L290+'DOE25'!L309+'DOE25'!L328+'DOE25'!L333+'DOE25'!L334+'DOE25'!L335-F31-G31</f>
        <v>95978.52</v>
      </c>
      <c r="E31" s="243"/>
      <c r="F31" s="255">
        <f>'DOE25'!J290+'DOE25'!J309+'DOE25'!J328+'DOE25'!J333+'DOE25'!J334+'DOE25'!J335</f>
        <v>6620.86</v>
      </c>
      <c r="G31" s="53">
        <f>'DOE25'!K290+'DOE25'!K309+'DOE25'!K328+'DOE25'!K333+'DOE25'!K334+'DOE25'!K335</f>
        <v>1390.55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4292885.8899999997</v>
      </c>
      <c r="E33" s="246">
        <f>SUM(E5:E31)</f>
        <v>73795.83</v>
      </c>
      <c r="F33" s="246">
        <f>SUM(F5:F31)</f>
        <v>26107.27</v>
      </c>
      <c r="G33" s="246">
        <f>SUM(G5:G31)</f>
        <v>5983.67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73795.83</v>
      </c>
      <c r="E35" s="249"/>
    </row>
    <row r="36" spans="2:8" ht="12" thickTop="1" x14ac:dyDescent="0.2">
      <c r="B36" t="s">
        <v>815</v>
      </c>
      <c r="D36" s="20">
        <f>D33</f>
        <v>4292885.8899999997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ANDOVER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542145</v>
      </c>
      <c r="D8" s="95">
        <f>'DOE25'!G9</f>
        <v>433</v>
      </c>
      <c r="E8" s="95">
        <f>'DOE25'!H9</f>
        <v>0</v>
      </c>
      <c r="F8" s="95">
        <f>'DOE25'!I9</f>
        <v>0</v>
      </c>
      <c r="G8" s="95">
        <f>'DOE25'!J9</f>
        <v>154877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11422</v>
      </c>
      <c r="D11" s="95">
        <f>'DOE25'!G12</f>
        <v>0</v>
      </c>
      <c r="E11" s="95">
        <f>'DOE25'!H12</f>
        <v>25178</v>
      </c>
      <c r="F11" s="95">
        <f>'DOE25'!I12</f>
        <v>0</v>
      </c>
      <c r="G11" s="95">
        <f>'DOE25'!J12</f>
        <v>35000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2368</v>
      </c>
      <c r="E12" s="95">
        <f>'DOE25'!H13</f>
        <v>37566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191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4376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553758</v>
      </c>
      <c r="D18" s="41">
        <f>SUM(D8:D17)</f>
        <v>7177</v>
      </c>
      <c r="E18" s="41">
        <f>SUM(E8:E17)</f>
        <v>62744</v>
      </c>
      <c r="F18" s="41">
        <f>SUM(F8:F17)</f>
        <v>0</v>
      </c>
      <c r="G18" s="41">
        <f>SUM(G8:G17)</f>
        <v>189877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35000</v>
      </c>
      <c r="D21" s="95">
        <f>'DOE25'!G22</f>
        <v>5895</v>
      </c>
      <c r="E21" s="95">
        <f>'DOE25'!H22</f>
        <v>30705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24749</v>
      </c>
      <c r="D23" s="95">
        <f>'DOE25'!G24</f>
        <v>651</v>
      </c>
      <c r="E23" s="95">
        <f>'DOE25'!H24</f>
        <v>4770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160372</v>
      </c>
      <c r="D27" s="95">
        <f>'DOE25'!G28</f>
        <v>631</v>
      </c>
      <c r="E27" s="95">
        <f>'DOE25'!H28</f>
        <v>2092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25118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220121</v>
      </c>
      <c r="D31" s="41">
        <f>SUM(D21:D30)</f>
        <v>7177</v>
      </c>
      <c r="E31" s="41">
        <f>SUM(E21:E30)</f>
        <v>62685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4376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-4376</v>
      </c>
      <c r="E47" s="95">
        <f>'DOE25'!H48</f>
        <v>59</v>
      </c>
      <c r="F47" s="95">
        <f>'DOE25'!I48</f>
        <v>0</v>
      </c>
      <c r="G47" s="95">
        <f>'DOE25'!J48</f>
        <v>189877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333637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333637</v>
      </c>
      <c r="D50" s="41">
        <f>SUM(D34:D49)</f>
        <v>0</v>
      </c>
      <c r="E50" s="41">
        <f>SUM(E34:E49)</f>
        <v>59</v>
      </c>
      <c r="F50" s="41">
        <f>SUM(F34:F49)</f>
        <v>0</v>
      </c>
      <c r="G50" s="41">
        <f>SUM(G34:G49)</f>
        <v>189877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553758</v>
      </c>
      <c r="D51" s="41">
        <f>D50+D31</f>
        <v>7177</v>
      </c>
      <c r="E51" s="41">
        <f>E50+E31</f>
        <v>62744</v>
      </c>
      <c r="F51" s="41">
        <f>F50+F31</f>
        <v>0</v>
      </c>
      <c r="G51" s="41">
        <f>G50+G31</f>
        <v>189877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2671796.9700000002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12500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1998.1100000000001</v>
      </c>
      <c r="D59" s="95">
        <f>'DOE25'!G96</f>
        <v>4.3</v>
      </c>
      <c r="E59" s="95">
        <f>'DOE25'!H96</f>
        <v>0</v>
      </c>
      <c r="F59" s="95">
        <f>'DOE25'!I96</f>
        <v>0</v>
      </c>
      <c r="G59" s="95">
        <f>'DOE25'!J96</f>
        <v>311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39178.980000000003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670.53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15168.640000000001</v>
      </c>
      <c r="D62" s="130">
        <f>SUM(D57:D61)</f>
        <v>39183.280000000006</v>
      </c>
      <c r="E62" s="130">
        <f>SUM(E57:E61)</f>
        <v>0</v>
      </c>
      <c r="F62" s="130">
        <f>SUM(F57:F61)</f>
        <v>0</v>
      </c>
      <c r="G62" s="130">
        <f>SUM(G57:G61)</f>
        <v>311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2686965.6100000003</v>
      </c>
      <c r="D63" s="22">
        <f>D56+D62</f>
        <v>39183.280000000006</v>
      </c>
      <c r="E63" s="22">
        <f>E56+E62</f>
        <v>0</v>
      </c>
      <c r="F63" s="22">
        <f>F56+F62</f>
        <v>0</v>
      </c>
      <c r="G63" s="22">
        <f>G56+G62</f>
        <v>311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830235.68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567726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1397961.6800000002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59359.79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1540.99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59359.79</v>
      </c>
      <c r="D78" s="130">
        <f>SUM(D72:D77)</f>
        <v>1540.99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1457321.4700000002</v>
      </c>
      <c r="D81" s="130">
        <f>SUM(D79:D80)+D78+D70</f>
        <v>1540.99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33667.24</v>
      </c>
      <c r="D88" s="95">
        <f>SUM('DOE25'!G153:G161)</f>
        <v>36120.75</v>
      </c>
      <c r="E88" s="95">
        <f>SUM('DOE25'!H153:H161)</f>
        <v>111627.64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33667.24</v>
      </c>
      <c r="D91" s="131">
        <f>SUM(D85:D90)</f>
        <v>36120.75</v>
      </c>
      <c r="E91" s="131">
        <f>SUM(E85:E90)</f>
        <v>111627.64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58230</v>
      </c>
      <c r="E96" s="95">
        <f>'DOE25'!H179</f>
        <v>0</v>
      </c>
      <c r="F96" s="95">
        <f>'DOE25'!I179</f>
        <v>0</v>
      </c>
      <c r="G96" s="95">
        <f>'DOE25'!J179</f>
        <v>35000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58230</v>
      </c>
      <c r="E103" s="86">
        <f>SUM(E93:E102)</f>
        <v>0</v>
      </c>
      <c r="F103" s="86">
        <f>SUM(F93:F102)</f>
        <v>0</v>
      </c>
      <c r="G103" s="86">
        <f>SUM(G93:G102)</f>
        <v>35000</v>
      </c>
    </row>
    <row r="104" spans="1:7" ht="12.75" thickTop="1" thickBot="1" x14ac:dyDescent="0.25">
      <c r="A104" s="33" t="s">
        <v>765</v>
      </c>
      <c r="C104" s="86">
        <f>C63+C81+C91+C103</f>
        <v>4177954.3200000008</v>
      </c>
      <c r="D104" s="86">
        <f>D63+D81+D91+D103</f>
        <v>135075.02000000002</v>
      </c>
      <c r="E104" s="86">
        <f>E63+E81+E91+E103</f>
        <v>111627.64</v>
      </c>
      <c r="F104" s="86">
        <f>F63+F81+F91+F103</f>
        <v>0</v>
      </c>
      <c r="G104" s="86">
        <f>G63+G81+G103</f>
        <v>35311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2415549.19</v>
      </c>
      <c r="D109" s="24" t="s">
        <v>289</v>
      </c>
      <c r="E109" s="95">
        <f>('DOE25'!L276)+('DOE25'!L295)+('DOE25'!L314)</f>
        <v>34594.1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583964.66</v>
      </c>
      <c r="D110" s="24" t="s">
        <v>289</v>
      </c>
      <c r="E110" s="95">
        <f>('DOE25'!L277)+('DOE25'!L296)+('DOE25'!L315)</f>
        <v>26866.120000000003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19381.82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7578.71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3018895.67</v>
      </c>
      <c r="D115" s="86">
        <f>SUM(D109:D114)</f>
        <v>0</v>
      </c>
      <c r="E115" s="86">
        <f>SUM(E109:E114)</f>
        <v>69038.930000000008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204523.25</v>
      </c>
      <c r="D118" s="24" t="s">
        <v>289</v>
      </c>
      <c r="E118" s="95">
        <f>+('DOE25'!L281)+('DOE25'!L300)+('DOE25'!L319)</f>
        <v>29889.11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58988.569999999992</v>
      </c>
      <c r="D119" s="24" t="s">
        <v>289</v>
      </c>
      <c r="E119" s="95">
        <f>+('DOE25'!L282)+('DOE25'!L301)+('DOE25'!L320)</f>
        <v>11250.05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127477.31999999999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186719.33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1390.55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192074.93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415493.2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579.54999999999995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143936.01999999999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1185856.1499999999</v>
      </c>
      <c r="D128" s="86">
        <f>SUM(D118:D127)</f>
        <v>143936.01999999999</v>
      </c>
      <c r="E128" s="86">
        <f>SUM(E118:E127)</f>
        <v>42529.710000000006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6092.5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58230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35311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-311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99322.5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4304074.32</v>
      </c>
      <c r="D145" s="86">
        <f>(D115+D128+D144)</f>
        <v>143936.01999999999</v>
      </c>
      <c r="E145" s="86">
        <f>(E115+E128+E144)</f>
        <v>111568.64000000001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C4" sqref="C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ANDOVER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12910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12910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2450143</v>
      </c>
      <c r="D10" s="182">
        <f>ROUND((C10/$C$28)*100,1)</f>
        <v>55.4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610831</v>
      </c>
      <c r="D11" s="182">
        <f>ROUND((C11/$C$28)*100,1)</f>
        <v>13.8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19382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234412</v>
      </c>
      <c r="D15" s="182">
        <f t="shared" ref="D15:D27" si="0">ROUND((C15/$C$28)*100,1)</f>
        <v>5.3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70239</v>
      </c>
      <c r="D16" s="182">
        <f t="shared" si="0"/>
        <v>1.6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128057</v>
      </c>
      <c r="D17" s="182">
        <f t="shared" si="0"/>
        <v>2.9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186719</v>
      </c>
      <c r="D18" s="182">
        <f t="shared" si="0"/>
        <v>4.2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1391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192075</v>
      </c>
      <c r="D20" s="182">
        <f t="shared" si="0"/>
        <v>4.3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415493</v>
      </c>
      <c r="D21" s="182">
        <f t="shared" si="0"/>
        <v>9.4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7579</v>
      </c>
      <c r="D23" s="182">
        <f t="shared" si="0"/>
        <v>0.2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104757.01999999999</v>
      </c>
      <c r="D27" s="182">
        <f t="shared" si="0"/>
        <v>2.4</v>
      </c>
    </row>
    <row r="28" spans="1:4" x14ac:dyDescent="0.2">
      <c r="B28" s="187" t="s">
        <v>723</v>
      </c>
      <c r="C28" s="180">
        <f>SUM(C10:C27)</f>
        <v>4421078.0199999996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6093</v>
      </c>
    </row>
    <row r="30" spans="1:4" x14ac:dyDescent="0.2">
      <c r="B30" s="187" t="s">
        <v>729</v>
      </c>
      <c r="C30" s="180">
        <f>SUM(C28:C29)</f>
        <v>4427171.0199999996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2671797</v>
      </c>
      <c r="D35" s="182">
        <f t="shared" ref="D35:D40" si="1">ROUND((C35/$C$41)*100,1)</f>
        <v>61.7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15483.910000000149</v>
      </c>
      <c r="D36" s="182">
        <f t="shared" si="1"/>
        <v>0.4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1397962</v>
      </c>
      <c r="D37" s="182">
        <f t="shared" si="1"/>
        <v>32.299999999999997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60901</v>
      </c>
      <c r="D38" s="182">
        <f t="shared" si="1"/>
        <v>1.4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181416</v>
      </c>
      <c r="D39" s="182">
        <f t="shared" si="1"/>
        <v>4.2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4327559.91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ANDOVER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2016-09-27T17:29:20Z</cp:lastPrinted>
  <dcterms:created xsi:type="dcterms:W3CDTF">1997-12-04T19:04:30Z</dcterms:created>
  <dcterms:modified xsi:type="dcterms:W3CDTF">2016-09-27T17:35:41Z</dcterms:modified>
</cp:coreProperties>
</file>