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H207" i="1"/>
  <c r="F49" i="1" l="1"/>
  <c r="F24" i="1"/>
  <c r="D9" i="13" l="1"/>
  <c r="C12" i="12" l="1"/>
  <c r="B10" i="12"/>
  <c r="B12" i="12"/>
  <c r="B21" i="12"/>
  <c r="B20" i="12"/>
  <c r="B19" i="12"/>
  <c r="I521" i="1"/>
  <c r="H521" i="1"/>
  <c r="G521" i="1"/>
  <c r="F521" i="1"/>
  <c r="I282" i="1" l="1"/>
  <c r="H468" i="1" l="1"/>
  <c r="I276" i="1"/>
  <c r="K204" i="1" l="1"/>
  <c r="J207" i="1"/>
  <c r="I207" i="1"/>
  <c r="I203" i="1"/>
  <c r="I202" i="1"/>
  <c r="I198" i="1"/>
  <c r="H208" i="1"/>
  <c r="H204" i="1"/>
  <c r="H203" i="1"/>
  <c r="H202" i="1"/>
  <c r="H198" i="1"/>
  <c r="G203" i="1"/>
  <c r="G202" i="1"/>
  <c r="G198" i="1"/>
  <c r="F202" i="1"/>
  <c r="F203" i="1"/>
  <c r="F200" i="1"/>
  <c r="F198" i="1"/>
  <c r="H102" i="1" l="1"/>
  <c r="H155" i="1"/>
  <c r="H154" i="1"/>
  <c r="J96" i="1"/>
  <c r="J468" i="1"/>
  <c r="H48" i="1" l="1"/>
  <c r="H22" i="1"/>
  <c r="H12" i="1"/>
  <c r="H24" i="1"/>
  <c r="F29" i="1" l="1"/>
  <c r="F9" i="1"/>
  <c r="I358" i="1" l="1"/>
  <c r="G1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F474" i="1"/>
  <c r="F476" i="1" s="1"/>
  <c r="H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4" i="1"/>
  <c r="J644" i="1" s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L351" i="1"/>
  <c r="I662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17" i="13"/>
  <c r="C17" i="13" s="1"/>
  <c r="D6" i="13"/>
  <c r="C6" i="13" s="1"/>
  <c r="E8" i="13"/>
  <c r="C8" i="13" s="1"/>
  <c r="C91" i="2"/>
  <c r="F78" i="2"/>
  <c r="F81" i="2" s="1"/>
  <c r="D50" i="2"/>
  <c r="G157" i="2"/>
  <c r="F18" i="2"/>
  <c r="G161" i="2"/>
  <c r="G156" i="2"/>
  <c r="E103" i="2"/>
  <c r="D91" i="2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476" i="1"/>
  <c r="H623" i="1" s="1"/>
  <c r="F169" i="1"/>
  <c r="J140" i="1"/>
  <c r="F571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L560" i="1"/>
  <c r="J545" i="1"/>
  <c r="G192" i="1"/>
  <c r="H192" i="1"/>
  <c r="F552" i="1"/>
  <c r="L309" i="1"/>
  <c r="E16" i="13"/>
  <c r="J65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J622" i="1" l="1"/>
  <c r="A13" i="12"/>
  <c r="H545" i="1"/>
  <c r="K549" i="1"/>
  <c r="K552" i="1" s="1"/>
  <c r="L545" i="1"/>
  <c r="J640" i="1"/>
  <c r="K598" i="1"/>
  <c r="G647" i="1" s="1"/>
  <c r="J647" i="1" s="1"/>
  <c r="J649" i="1"/>
  <c r="E128" i="2"/>
  <c r="L290" i="1"/>
  <c r="E109" i="2"/>
  <c r="E115" i="2" s="1"/>
  <c r="C16" i="10"/>
  <c r="C10" i="10"/>
  <c r="C17" i="10"/>
  <c r="D7" i="13"/>
  <c r="C7" i="13" s="1"/>
  <c r="E33" i="13"/>
  <c r="D35" i="13" s="1"/>
  <c r="D5" i="13"/>
  <c r="C5" i="13" s="1"/>
  <c r="C109" i="2"/>
  <c r="C119" i="2"/>
  <c r="C128" i="2" s="1"/>
  <c r="L211" i="1"/>
  <c r="F660" i="1" s="1"/>
  <c r="C110" i="2"/>
  <c r="C62" i="2"/>
  <c r="C63" i="2" s="1"/>
  <c r="C81" i="2"/>
  <c r="C35" i="10"/>
  <c r="F112" i="1"/>
  <c r="C36" i="10" s="1"/>
  <c r="J645" i="1"/>
  <c r="J624" i="1"/>
  <c r="J617" i="1"/>
  <c r="C18" i="2"/>
  <c r="J634" i="1"/>
  <c r="J623" i="1"/>
  <c r="D145" i="2"/>
  <c r="G661" i="1"/>
  <c r="I661" i="1" s="1"/>
  <c r="L362" i="1"/>
  <c r="C27" i="10" s="1"/>
  <c r="D18" i="2"/>
  <c r="H664" i="1"/>
  <c r="H667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E145" i="2" l="1"/>
  <c r="D31" i="13"/>
  <c r="C31" i="13" s="1"/>
  <c r="C28" i="10"/>
  <c r="D24" i="10" s="1"/>
  <c r="C115" i="2"/>
  <c r="C145" i="2" s="1"/>
  <c r="F664" i="1"/>
  <c r="F667" i="1" s="1"/>
  <c r="I660" i="1"/>
  <c r="I664" i="1" s="1"/>
  <c r="I672" i="1" s="1"/>
  <c r="C7" i="10" s="1"/>
  <c r="L257" i="1"/>
  <c r="L271" i="1" s="1"/>
  <c r="G632" i="1" s="1"/>
  <c r="J632" i="1" s="1"/>
  <c r="C104" i="2"/>
  <c r="F193" i="1"/>
  <c r="G627" i="1" s="1"/>
  <c r="J627" i="1" s="1"/>
  <c r="H646" i="1"/>
  <c r="G104" i="2"/>
  <c r="G672" i="1"/>
  <c r="C5" i="10" s="1"/>
  <c r="G635" i="1"/>
  <c r="J635" i="1" s="1"/>
  <c r="H672" i="1"/>
  <c r="C6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0" i="10"/>
  <c r="D27" i="10"/>
  <c r="D33" i="13" l="1"/>
  <c r="D36" i="13" s="1"/>
  <c r="D18" i="10"/>
  <c r="D17" i="10"/>
  <c r="D12" i="10"/>
  <c r="D26" i="10"/>
  <c r="C30" i="10"/>
  <c r="D16" i="10"/>
  <c r="D25" i="10"/>
  <c r="D20" i="10"/>
  <c r="D15" i="10"/>
  <c r="D19" i="10"/>
  <c r="D13" i="10"/>
  <c r="D11" i="10"/>
  <c r="D21" i="10"/>
  <c r="D22" i="10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<sst xmlns="http://schemas.openxmlformats.org/spreadsheetml/2006/main" count="3955" uniqueCount="913">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</sst>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</v>
      </c>
      <c r="C2" s="21">
        <v>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363271.95+500</f>
        <v>363771.95</v>
      </c>
      <c r="G9" s="18"/>
      <c r="H9" s="18"/>
      <c r="I9" s="18"/>
      <c r="J9" s="67">
        <f>SUM(I439)</f>
        <v>192431.98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1626800.44</v>
      </c>
      <c r="G12" s="18">
        <v>623168.27</v>
      </c>
      <c r="H12" s="18">
        <f>877965.24+35965.26</f>
        <v>913930.5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29332</v>
      </c>
      <c r="G13" s="18">
        <v>11305.75</v>
      </c>
      <c r="H13" s="18">
        <v>32073.65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267.83999999999997</v>
      </c>
      <c r="G14" s="18">
        <v>-527.17999999999995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-7.35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2020164.88</v>
      </c>
      <c r="G19" s="41">
        <f>SUM(G9:G18)</f>
        <v>633946.84</v>
      </c>
      <c r="H19" s="41">
        <f>SUM(H9:H18)</f>
        <v>946004.15</v>
      </c>
      <c r="I19" s="41">
        <f>SUM(I9:I18)</f>
        <v>0</v>
      </c>
      <c r="J19" s="41">
        <f>SUM(J9:J18)</f>
        <v>192431.98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1607270.22</v>
      </c>
      <c r="G22" s="18">
        <v>619399.72</v>
      </c>
      <c r="H22" s="18">
        <f>908912.04+30698.22-2380.99</f>
        <v>937229.27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67485.21+438.6</f>
        <v>67923.810000000012</v>
      </c>
      <c r="G24" s="18">
        <v>7830.05</v>
      </c>
      <c r="H24" s="18">
        <f>792.78+1567.93</f>
        <v>2360.71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-1319.34+720.14</f>
        <v>-599.19999999999993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11481.34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1686076.1700000002</v>
      </c>
      <c r="G32" s="41">
        <f>SUM(G22:G31)</f>
        <v>627229.77</v>
      </c>
      <c r="H32" s="41">
        <f>SUM(H22:H31)</f>
        <v>939589.98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6717.07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334.07+3699.11+2380.99</f>
        <v>6414.17</v>
      </c>
      <c r="I48" s="18"/>
      <c r="J48" s="13">
        <f>SUM(I459)</f>
        <v>192431.98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85607.4-325</f>
        <v>85282.4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173806.31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334088.70999999996</v>
      </c>
      <c r="G51" s="41">
        <f>SUM(G35:G50)</f>
        <v>6717.07</v>
      </c>
      <c r="H51" s="41">
        <f>SUM(H35:H50)</f>
        <v>6414.17</v>
      </c>
      <c r="I51" s="41">
        <f>SUM(I35:I50)</f>
        <v>0</v>
      </c>
      <c r="J51" s="41">
        <f>SUM(J35:J50)</f>
        <v>192431.98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2020164.8800000001</v>
      </c>
      <c r="G52" s="41">
        <f>G51+G32</f>
        <v>633946.84</v>
      </c>
      <c r="H52" s="41">
        <f>H51+H32</f>
        <v>946004.15</v>
      </c>
      <c r="I52" s="41">
        <f>I51+I32</f>
        <v>0</v>
      </c>
      <c r="J52" s="41">
        <f>J51+J32</f>
        <v>192431.98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2068825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2068825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497.64</v>
      </c>
      <c r="G96" s="18"/>
      <c r="H96" s="18"/>
      <c r="I96" s="18"/>
      <c r="J96" s="18">
        <f>138.56+201.25+197.59</f>
        <v>537.4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17733.4+438.15</f>
        <v>18171.550000000003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1605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3222.93</f>
        <v>3222.93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326.33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2428.9699999999998</v>
      </c>
      <c r="G111" s="41">
        <f>SUM(G96:G110)</f>
        <v>18171.550000000003</v>
      </c>
      <c r="H111" s="41">
        <f>SUM(H96:H110)</f>
        <v>3222.93</v>
      </c>
      <c r="I111" s="41">
        <f>SUM(I96:I110)</f>
        <v>0</v>
      </c>
      <c r="J111" s="41">
        <f>SUM(J96:J110)</f>
        <v>537.4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2071253.97</v>
      </c>
      <c r="G112" s="41">
        <f>G60+G111</f>
        <v>18171.550000000003</v>
      </c>
      <c r="H112" s="41">
        <f>H60+H79+H94+H111</f>
        <v>3222.93</v>
      </c>
      <c r="I112" s="41">
        <f>I60+I111</f>
        <v>0</v>
      </c>
      <c r="J112" s="41">
        <f>J60+J111</f>
        <v>537.4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560454.77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373228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933682.77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5589.86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1242.3800000000001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5589.86</v>
      </c>
      <c r="G136" s="41">
        <f>SUM(G123:G135)</f>
        <v>1242.3800000000001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939272.63</v>
      </c>
      <c r="G140" s="41">
        <f>G121+SUM(G136:G137)</f>
        <v>1242.3800000000001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2023.47+79154.05</f>
        <v>81177.52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14838.57+3990.81+11884.86+906.27</f>
        <v>31620.510000000002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49855.12+8406.22</f>
        <v>58261.340000000004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39606.36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39606.36</v>
      </c>
      <c r="G162" s="41">
        <f>SUM(G150:G161)</f>
        <v>58261.340000000004</v>
      </c>
      <c r="H162" s="41">
        <f>SUM(H150:H161)</f>
        <v>112798.03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332.66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39939.020000000004</v>
      </c>
      <c r="G169" s="41">
        <f>G147+G162+SUM(G163:G168)</f>
        <v>58261.340000000004</v>
      </c>
      <c r="H169" s="41">
        <f>H147+H162+SUM(H163:H168)</f>
        <v>112798.03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20000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3050465.62</v>
      </c>
      <c r="G193" s="47">
        <f>G112+G140+G169+G192</f>
        <v>97675.27</v>
      </c>
      <c r="H193" s="47">
        <f>H112+H140+H169+H192</f>
        <v>116020.95999999999</v>
      </c>
      <c r="I193" s="47">
        <f>I112+I140+I169+I192</f>
        <v>0</v>
      </c>
      <c r="J193" s="47">
        <f>J112+J140+J192</f>
        <v>50537.4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821477.82</v>
      </c>
      <c r="G197" s="18">
        <v>442176.16</v>
      </c>
      <c r="H197" s="18">
        <v>5249.2</v>
      </c>
      <c r="I197" s="18">
        <v>28603.46</v>
      </c>
      <c r="J197" s="18">
        <v>13723.25</v>
      </c>
      <c r="K197" s="18">
        <v>284</v>
      </c>
      <c r="L197" s="19">
        <f>SUM(F197:K197)</f>
        <v>1311513.8899999999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133848.96+3852.4</f>
        <v>137701.35999999999</v>
      </c>
      <c r="G198" s="18">
        <f>66084.43+263.43</f>
        <v>66347.859999999986</v>
      </c>
      <c r="H198" s="18">
        <f>117333.6+888.35+19202.43</f>
        <v>137424.38</v>
      </c>
      <c r="I198" s="18">
        <f>2887.96+68.35</f>
        <v>2956.31</v>
      </c>
      <c r="J198" s="18"/>
      <c r="K198" s="18">
        <v>65</v>
      </c>
      <c r="L198" s="19">
        <f>SUM(F198:K198)</f>
        <v>344494.91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24200</f>
        <v>24200</v>
      </c>
      <c r="G200" s="18">
        <v>5152.43</v>
      </c>
      <c r="H200" s="18">
        <v>3904</v>
      </c>
      <c r="I200" s="18">
        <v>378</v>
      </c>
      <c r="J200" s="18">
        <v>3882.55</v>
      </c>
      <c r="K200" s="18">
        <v>39.950000000000003</v>
      </c>
      <c r="L200" s="19">
        <f>SUM(F200:K200)</f>
        <v>37556.93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48592.95+56577+11130.2</f>
        <v>116300.15</v>
      </c>
      <c r="G202" s="18">
        <f>35253.42+32113.86+6857.2</f>
        <v>74224.479999999996</v>
      </c>
      <c r="H202" s="18">
        <f>2275+798+213.71+50788.29</f>
        <v>54075</v>
      </c>
      <c r="I202" s="18">
        <f>1209.25+962.5+659</f>
        <v>2830.75</v>
      </c>
      <c r="J202" s="18"/>
      <c r="K202" s="18"/>
      <c r="L202" s="19">
        <f t="shared" ref="L202:L208" si="0">SUM(F202:K202)</f>
        <v>247430.38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29516.67+7497.42+32594.75</f>
        <v>69608.84</v>
      </c>
      <c r="G203" s="18">
        <f>10118.54+1540.81+19355.61</f>
        <v>31014.959999999999</v>
      </c>
      <c r="H203" s="18">
        <f>6430.76+17341.18+1000</f>
        <v>24771.940000000002</v>
      </c>
      <c r="I203" s="18">
        <f>6329.14+441.3+5742.32</f>
        <v>12512.76</v>
      </c>
      <c r="J203" s="18">
        <v>14625.67</v>
      </c>
      <c r="K203" s="18"/>
      <c r="L203" s="19">
        <f t="shared" si="0"/>
        <v>152534.17000000001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3670</v>
      </c>
      <c r="G204" s="18">
        <v>366.83</v>
      </c>
      <c r="H204" s="18">
        <f>3356.76+8250+16774+80314</f>
        <v>108694.76000000001</v>
      </c>
      <c r="I204" s="18">
        <v>164.94</v>
      </c>
      <c r="J204" s="18"/>
      <c r="K204" s="18">
        <f>3401.21+29.25</f>
        <v>3430.46</v>
      </c>
      <c r="L204" s="19">
        <f t="shared" si="0"/>
        <v>116326.99000000002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146002.74</v>
      </c>
      <c r="G205" s="18">
        <v>37807.42</v>
      </c>
      <c r="H205" s="18">
        <v>13276.6</v>
      </c>
      <c r="I205" s="18">
        <v>2883.85</v>
      </c>
      <c r="J205" s="18"/>
      <c r="K205" s="18"/>
      <c r="L205" s="19">
        <f t="shared" si="0"/>
        <v>199970.61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94733.13</v>
      </c>
      <c r="G207" s="18">
        <v>67062.649999999994</v>
      </c>
      <c r="H207" s="18">
        <f>39102.08+36510.35+4720.67+438.6</f>
        <v>80771.7</v>
      </c>
      <c r="I207" s="18">
        <f>72087.34+4552.76+1929.27</f>
        <v>78569.37</v>
      </c>
      <c r="J207" s="18">
        <f>7748.36+11457.35</f>
        <v>19205.71</v>
      </c>
      <c r="K207" s="18"/>
      <c r="L207" s="19">
        <f t="shared" si="0"/>
        <v>340342.56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44041+19980+3145+4750+1365</f>
        <v>73281</v>
      </c>
      <c r="I208" s="18"/>
      <c r="J208" s="18"/>
      <c r="K208" s="18"/>
      <c r="L208" s="19">
        <f t="shared" si="0"/>
        <v>73281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1413694.04</v>
      </c>
      <c r="G211" s="41">
        <f t="shared" si="1"/>
        <v>724152.78999999992</v>
      </c>
      <c r="H211" s="41">
        <f t="shared" si="1"/>
        <v>501448.58</v>
      </c>
      <c r="I211" s="41">
        <f t="shared" si="1"/>
        <v>128899.44</v>
      </c>
      <c r="J211" s="41">
        <f t="shared" si="1"/>
        <v>51437.18</v>
      </c>
      <c r="K211" s="41">
        <f t="shared" si="1"/>
        <v>3819.41</v>
      </c>
      <c r="L211" s="41">
        <f t="shared" si="1"/>
        <v>2823451.44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1413694.04</v>
      </c>
      <c r="G257" s="41">
        <f t="shared" si="8"/>
        <v>724152.78999999992</v>
      </c>
      <c r="H257" s="41">
        <f t="shared" si="8"/>
        <v>501448.58</v>
      </c>
      <c r="I257" s="41">
        <f t="shared" si="8"/>
        <v>128899.44</v>
      </c>
      <c r="J257" s="41">
        <f t="shared" si="8"/>
        <v>51437.18</v>
      </c>
      <c r="K257" s="41">
        <f t="shared" si="8"/>
        <v>3819.41</v>
      </c>
      <c r="L257" s="41">
        <f t="shared" si="8"/>
        <v>2823451.44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70000</v>
      </c>
      <c r="L270" s="41">
        <f t="shared" si="9"/>
        <v>70000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1413694.04</v>
      </c>
      <c r="G271" s="42">
        <f t="shared" si="11"/>
        <v>724152.78999999992</v>
      </c>
      <c r="H271" s="42">
        <f t="shared" si="11"/>
        <v>501448.58</v>
      </c>
      <c r="I271" s="42">
        <f t="shared" si="11"/>
        <v>128899.44</v>
      </c>
      <c r="J271" s="42">
        <f t="shared" si="11"/>
        <v>51437.18</v>
      </c>
      <c r="K271" s="42">
        <f t="shared" si="11"/>
        <v>73819.41</v>
      </c>
      <c r="L271" s="42">
        <f t="shared" si="11"/>
        <v>2893451.44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64866</v>
      </c>
      <c r="G276" s="18">
        <v>14694.01</v>
      </c>
      <c r="H276" s="18"/>
      <c r="I276" s="18">
        <f>156.79+339</f>
        <v>495.78999999999996</v>
      </c>
      <c r="J276" s="18">
        <v>1567.93</v>
      </c>
      <c r="K276" s="18"/>
      <c r="L276" s="19">
        <f>SUM(F276:K276)</f>
        <v>81623.729999999981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8602.58</v>
      </c>
      <c r="G282" s="18">
        <v>1571.33</v>
      </c>
      <c r="H282" s="18">
        <v>19123.28</v>
      </c>
      <c r="I282" s="18">
        <f>22.26+75.55</f>
        <v>97.81</v>
      </c>
      <c r="J282" s="18">
        <v>549.94000000000005</v>
      </c>
      <c r="K282" s="18"/>
      <c r="L282" s="19">
        <f t="shared" si="12"/>
        <v>29944.94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2802.22</v>
      </c>
      <c r="L283" s="19">
        <f t="shared" si="12"/>
        <v>2802.22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73468.58</v>
      </c>
      <c r="G290" s="42">
        <f t="shared" si="13"/>
        <v>16265.34</v>
      </c>
      <c r="H290" s="42">
        <f t="shared" si="13"/>
        <v>19123.28</v>
      </c>
      <c r="I290" s="42">
        <f t="shared" si="13"/>
        <v>593.59999999999991</v>
      </c>
      <c r="J290" s="42">
        <f t="shared" si="13"/>
        <v>2117.87</v>
      </c>
      <c r="K290" s="42">
        <f t="shared" si="13"/>
        <v>2802.22</v>
      </c>
      <c r="L290" s="41">
        <f t="shared" si="13"/>
        <v>114370.88999999998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73468.58</v>
      </c>
      <c r="G338" s="41">
        <f t="shared" si="20"/>
        <v>16265.34</v>
      </c>
      <c r="H338" s="41">
        <f t="shared" si="20"/>
        <v>19123.28</v>
      </c>
      <c r="I338" s="41">
        <f t="shared" si="20"/>
        <v>593.59999999999991</v>
      </c>
      <c r="J338" s="41">
        <f t="shared" si="20"/>
        <v>2117.87</v>
      </c>
      <c r="K338" s="41">
        <f t="shared" si="20"/>
        <v>2802.22</v>
      </c>
      <c r="L338" s="41">
        <f t="shared" si="20"/>
        <v>114370.88999999998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73468.58</v>
      </c>
      <c r="G352" s="41">
        <f>G338</f>
        <v>16265.34</v>
      </c>
      <c r="H352" s="41">
        <f>H338</f>
        <v>19123.28</v>
      </c>
      <c r="I352" s="41">
        <f>I338</f>
        <v>593.59999999999991</v>
      </c>
      <c r="J352" s="41">
        <f>J338</f>
        <v>2117.87</v>
      </c>
      <c r="K352" s="47">
        <f>K338+K351</f>
        <v>2802.22</v>
      </c>
      <c r="L352" s="41">
        <f>L338+L351</f>
        <v>114370.88999999998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97435</v>
      </c>
      <c r="I358" s="18">
        <f>-13.15+595</f>
        <v>581.85</v>
      </c>
      <c r="J358" s="18"/>
      <c r="K358" s="18"/>
      <c r="L358" s="13">
        <f>SUM(F358:K358)</f>
        <v>98016.85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97435</v>
      </c>
      <c r="I362" s="47">
        <f t="shared" si="22"/>
        <v>581.85</v>
      </c>
      <c r="J362" s="47">
        <f t="shared" si="22"/>
        <v>0</v>
      </c>
      <c r="K362" s="47">
        <f t="shared" si="22"/>
        <v>0</v>
      </c>
      <c r="L362" s="47">
        <f t="shared" si="22"/>
        <v>98016.85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581.85</v>
      </c>
      <c r="G368" s="63"/>
      <c r="H368" s="63"/>
      <c r="I368" s="56">
        <f>SUM(F368:H368)</f>
        <v>581.85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581.85</v>
      </c>
      <c r="G369" s="47">
        <f>SUM(G367:G368)</f>
        <v>0</v>
      </c>
      <c r="H369" s="47">
        <f>SUM(H367:H368)</f>
        <v>0</v>
      </c>
      <c r="I369" s="47">
        <f>SUM(I367:I368)</f>
        <v>581.85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138.56</v>
      </c>
      <c r="I395" s="18"/>
      <c r="J395" s="24" t="s">
        <v>289</v>
      </c>
      <c r="K395" s="24" t="s">
        <v>289</v>
      </c>
      <c r="L395" s="56">
        <f t="shared" ref="L395:L400" si="26">SUM(F395:K395)</f>
        <v>138.56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197.59</v>
      </c>
      <c r="I396" s="18"/>
      <c r="J396" s="24" t="s">
        <v>289</v>
      </c>
      <c r="K396" s="24" t="s">
        <v>289</v>
      </c>
      <c r="L396" s="56">
        <f t="shared" si="26"/>
        <v>50197.59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201.25</v>
      </c>
      <c r="I397" s="18"/>
      <c r="J397" s="24" t="s">
        <v>289</v>
      </c>
      <c r="K397" s="24" t="s">
        <v>289</v>
      </c>
      <c r="L397" s="56">
        <f t="shared" si="26"/>
        <v>201.25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537.4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50537.399999999994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537.4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50537.399999999994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192431.98</v>
      </c>
      <c r="H439" s="18"/>
      <c r="I439" s="56">
        <f t="shared" ref="I439:I445" si="33">SUM(F439:H439)</f>
        <v>192431.98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192431.98</v>
      </c>
      <c r="H446" s="13">
        <f>SUM(H439:H445)</f>
        <v>0</v>
      </c>
      <c r="I446" s="13">
        <f>SUM(I439:I445)</f>
        <v>192431.98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192431.98</v>
      </c>
      <c r="H459" s="18"/>
      <c r="I459" s="56">
        <f t="shared" si="34"/>
        <v>192431.98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192431.98</v>
      </c>
      <c r="H460" s="83">
        <f>SUM(H454:H459)</f>
        <v>0</v>
      </c>
      <c r="I460" s="83">
        <f>SUM(I454:I459)</f>
        <v>192431.98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192431.98</v>
      </c>
      <c r="H461" s="42">
        <f>H452+H460</f>
        <v>0</v>
      </c>
      <c r="I461" s="42">
        <f>I452+I460</f>
        <v>192431.98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177074.5299999998</v>
      </c>
      <c r="G465" s="18">
        <v>7058.6500000000087</v>
      </c>
      <c r="H465" s="18">
        <v>4764.0999999999767</v>
      </c>
      <c r="I465" s="18">
        <v>0</v>
      </c>
      <c r="J465" s="18">
        <v>141894.58000000002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3050465.62</v>
      </c>
      <c r="G468" s="18">
        <v>97675.27</v>
      </c>
      <c r="H468" s="18">
        <f>112798.03+3222.93</f>
        <v>116020.95999999999</v>
      </c>
      <c r="I468" s="18"/>
      <c r="J468" s="18">
        <f>138.56+201.25+50197.59</f>
        <v>50537.399999999994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3050465.62</v>
      </c>
      <c r="G470" s="53">
        <f>SUM(G468:G469)</f>
        <v>97675.27</v>
      </c>
      <c r="H470" s="53">
        <f>SUM(H468:H469)</f>
        <v>116020.95999999999</v>
      </c>
      <c r="I470" s="53">
        <f>SUM(I468:I469)</f>
        <v>0</v>
      </c>
      <c r="J470" s="53">
        <f>SUM(J468:J469)</f>
        <v>50537.399999999994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2892983.59+29.25+438.6</f>
        <v>2893451.44</v>
      </c>
      <c r="G472" s="18">
        <v>98016.85</v>
      </c>
      <c r="H472" s="18">
        <v>114370.89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2893451.44</v>
      </c>
      <c r="G474" s="53">
        <f>SUM(G472:G473)</f>
        <v>98016.85</v>
      </c>
      <c r="H474" s="53">
        <f>SUM(H472:H473)</f>
        <v>114370.89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334088.70999999996</v>
      </c>
      <c r="G476" s="53">
        <f>(G465+G470)- G474</f>
        <v>6717.070000000007</v>
      </c>
      <c r="H476" s="53">
        <f>(H465+H470)- H474</f>
        <v>6414.1699999999691</v>
      </c>
      <c r="I476" s="53">
        <f>(I465+I470)- I474</f>
        <v>0</v>
      </c>
      <c r="J476" s="53">
        <f>(J465+J470)- J474</f>
        <v>192431.98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133848.96+3852.4</f>
        <v>137701.35999999999</v>
      </c>
      <c r="G521" s="18">
        <f>66084.43+263.43</f>
        <v>66347.859999999986</v>
      </c>
      <c r="H521" s="18">
        <f>117333.6+888.35</f>
        <v>118221.95000000001</v>
      </c>
      <c r="I521" s="18">
        <f>2887.96+68.35</f>
        <v>2956.31</v>
      </c>
      <c r="J521" s="18"/>
      <c r="K521" s="18">
        <v>65</v>
      </c>
      <c r="L521" s="88">
        <f>SUM(F521:K521)</f>
        <v>325292.48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137701.35999999999</v>
      </c>
      <c r="G524" s="108">
        <f t="shared" ref="G524:L524" si="36">SUM(G521:G523)</f>
        <v>66347.859999999986</v>
      </c>
      <c r="H524" s="108">
        <f t="shared" si="36"/>
        <v>118221.95000000001</v>
      </c>
      <c r="I524" s="108">
        <f t="shared" si="36"/>
        <v>2956.31</v>
      </c>
      <c r="J524" s="108">
        <f t="shared" si="36"/>
        <v>0</v>
      </c>
      <c r="K524" s="108">
        <f t="shared" si="36"/>
        <v>65</v>
      </c>
      <c r="L524" s="89">
        <f t="shared" si="36"/>
        <v>325292.48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32164.19</v>
      </c>
      <c r="G526" s="18">
        <v>20330.66</v>
      </c>
      <c r="H526" s="18">
        <v>51616.6</v>
      </c>
      <c r="I526" s="18">
        <v>1093.3499999999999</v>
      </c>
      <c r="J526" s="18"/>
      <c r="K526" s="18"/>
      <c r="L526" s="88">
        <f>SUM(F526:K526)</f>
        <v>105204.8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32164.19</v>
      </c>
      <c r="G529" s="89">
        <f t="shared" ref="G529:L529" si="37">SUM(G526:G528)</f>
        <v>20330.66</v>
      </c>
      <c r="H529" s="89">
        <f t="shared" si="37"/>
        <v>51616.6</v>
      </c>
      <c r="I529" s="89">
        <f t="shared" si="37"/>
        <v>1093.3499999999999</v>
      </c>
      <c r="J529" s="89">
        <f t="shared" si="37"/>
        <v>0</v>
      </c>
      <c r="K529" s="89">
        <f t="shared" si="37"/>
        <v>0</v>
      </c>
      <c r="L529" s="89">
        <f t="shared" si="37"/>
        <v>105204.8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11979.03</v>
      </c>
      <c r="I531" s="18"/>
      <c r="J531" s="18"/>
      <c r="K531" s="18"/>
      <c r="L531" s="88">
        <f>SUM(F531:K531)</f>
        <v>11979.03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11979.03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11979.03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171.5</v>
      </c>
      <c r="I536" s="18"/>
      <c r="J536" s="18"/>
      <c r="K536" s="18"/>
      <c r="L536" s="88">
        <f>SUM(F536:K536)</f>
        <v>171.5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171.5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171.5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19980</v>
      </c>
      <c r="I541" s="18"/>
      <c r="J541" s="18"/>
      <c r="K541" s="18"/>
      <c r="L541" s="88">
        <f>SUM(F541:K541)</f>
        <v>19980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19980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19980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169865.55</v>
      </c>
      <c r="G545" s="89">
        <f t="shared" ref="G545:L545" si="41">G524+G529+G534+G539+G544</f>
        <v>86678.51999999999</v>
      </c>
      <c r="H545" s="89">
        <f t="shared" si="41"/>
        <v>201969.08000000002</v>
      </c>
      <c r="I545" s="89">
        <f t="shared" si="41"/>
        <v>4049.66</v>
      </c>
      <c r="J545" s="89">
        <f t="shared" si="41"/>
        <v>0</v>
      </c>
      <c r="K545" s="89">
        <f t="shared" si="41"/>
        <v>65</v>
      </c>
      <c r="L545" s="89">
        <f t="shared" si="41"/>
        <v>462627.81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325292.48</v>
      </c>
      <c r="G549" s="87">
        <f>L526</f>
        <v>105204.8</v>
      </c>
      <c r="H549" s="87">
        <f>L531</f>
        <v>11979.03</v>
      </c>
      <c r="I549" s="87">
        <f>L536</f>
        <v>171.5</v>
      </c>
      <c r="J549" s="87">
        <f>L541</f>
        <v>19980</v>
      </c>
      <c r="K549" s="87">
        <f>SUM(F549:J549)</f>
        <v>462627.81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325292.48</v>
      </c>
      <c r="G552" s="89">
        <f t="shared" si="42"/>
        <v>105204.8</v>
      </c>
      <c r="H552" s="89">
        <f t="shared" si="42"/>
        <v>11979.03</v>
      </c>
      <c r="I552" s="89">
        <f t="shared" si="42"/>
        <v>171.5</v>
      </c>
      <c r="J552" s="89">
        <f t="shared" si="42"/>
        <v>19980</v>
      </c>
      <c r="K552" s="89">
        <f t="shared" si="42"/>
        <v>462627.81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19202.43</v>
      </c>
      <c r="I562" s="18"/>
      <c r="J562" s="18"/>
      <c r="K562" s="18"/>
      <c r="L562" s="88">
        <f>SUM(F562:K562)</f>
        <v>19202.43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19202.43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19202.43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19202.43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19202.43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106902.46</v>
      </c>
      <c r="G582" s="18"/>
      <c r="H582" s="18"/>
      <c r="I582" s="87">
        <f t="shared" si="47"/>
        <v>106902.46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44041</v>
      </c>
      <c r="I591" s="18"/>
      <c r="J591" s="18"/>
      <c r="K591" s="104">
        <f t="shared" ref="K591:K597" si="48">SUM(H591:J591)</f>
        <v>44041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19980</v>
      </c>
      <c r="I592" s="18"/>
      <c r="J592" s="18"/>
      <c r="K592" s="104">
        <f t="shared" si="48"/>
        <v>19980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3145</v>
      </c>
      <c r="I594" s="18"/>
      <c r="J594" s="18"/>
      <c r="K594" s="104">
        <f t="shared" si="48"/>
        <v>3145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4750</v>
      </c>
      <c r="I595" s="18"/>
      <c r="J595" s="18"/>
      <c r="K595" s="104">
        <f t="shared" si="48"/>
        <v>4750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1365</v>
      </c>
      <c r="I597" s="18"/>
      <c r="J597" s="18"/>
      <c r="K597" s="104">
        <f t="shared" si="48"/>
        <v>1365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73281</v>
      </c>
      <c r="I598" s="108">
        <f>SUM(I591:I597)</f>
        <v>0</v>
      </c>
      <c r="J598" s="108">
        <f>SUM(J591:J597)</f>
        <v>0</v>
      </c>
      <c r="K598" s="108">
        <f>SUM(K591:K597)</f>
        <v>73281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53555.05</v>
      </c>
      <c r="I604" s="18"/>
      <c r="J604" s="18"/>
      <c r="K604" s="104">
        <f>SUM(H604:J604)</f>
        <v>53555.05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53555.05</v>
      </c>
      <c r="I605" s="108">
        <f>SUM(I602:I604)</f>
        <v>0</v>
      </c>
      <c r="J605" s="108">
        <f>SUM(J602:J604)</f>
        <v>0</v>
      </c>
      <c r="K605" s="108">
        <f>SUM(K602:K604)</f>
        <v>53555.05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2020164.88</v>
      </c>
      <c r="H617" s="109">
        <f>SUM(F52)</f>
        <v>2020164.8800000001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633946.84</v>
      </c>
      <c r="H618" s="109">
        <f>SUM(G52)</f>
        <v>633946.84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946004.15</v>
      </c>
      <c r="H619" s="109">
        <f>SUM(H52)</f>
        <v>946004.15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192431.98</v>
      </c>
      <c r="H621" s="109">
        <f>SUM(J52)</f>
        <v>192431.98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334088.70999999996</v>
      </c>
      <c r="H622" s="109">
        <f>F476</f>
        <v>334088.70999999996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6717.07</v>
      </c>
      <c r="H623" s="109">
        <f>G476</f>
        <v>6717.070000000007</v>
      </c>
      <c r="I623" s="121" t="s">
        <v>102</v>
      </c>
      <c r="J623" s="109">
        <f t="shared" si="50"/>
        <v>-7.2759576141834259E-12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6414.17</v>
      </c>
      <c r="H624" s="109">
        <f>H476</f>
        <v>6414.1699999999691</v>
      </c>
      <c r="I624" s="121" t="s">
        <v>103</v>
      </c>
      <c r="J624" s="109">
        <f t="shared" si="50"/>
        <v>3.092281986027956E-11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192431.98</v>
      </c>
      <c r="H626" s="109">
        <f>J476</f>
        <v>192431.98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3050465.62</v>
      </c>
      <c r="H627" s="104">
        <f>SUM(F468)</f>
        <v>3050465.62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97675.27</v>
      </c>
      <c r="H628" s="104">
        <f>SUM(G468)</f>
        <v>97675.27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116020.95999999999</v>
      </c>
      <c r="H629" s="104">
        <f>SUM(H468)</f>
        <v>116020.95999999999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50537.4</v>
      </c>
      <c r="H631" s="104">
        <f>SUM(J468)</f>
        <v>50537.399999999994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2893451.44</v>
      </c>
      <c r="H632" s="104">
        <f>SUM(F472)</f>
        <v>2893451.44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114370.88999999998</v>
      </c>
      <c r="H633" s="104">
        <f>SUM(H472)</f>
        <v>114370.89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581.85</v>
      </c>
      <c r="H634" s="104">
        <f>I369</f>
        <v>581.85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98016.85</v>
      </c>
      <c r="H635" s="104">
        <f>SUM(G472)</f>
        <v>98016.85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50537.399999999994</v>
      </c>
      <c r="H637" s="164">
        <f>SUM(J468)</f>
        <v>50537.399999999994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192431.98</v>
      </c>
      <c r="H640" s="104">
        <f>SUM(G461)</f>
        <v>192431.98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192431.98</v>
      </c>
      <c r="H642" s="104">
        <f>SUM(I461)</f>
        <v>192431.98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537.4</v>
      </c>
      <c r="H644" s="104">
        <f>H408</f>
        <v>537.4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50537.4</v>
      </c>
      <c r="H646" s="104">
        <f>L408</f>
        <v>50537.399999999994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73281</v>
      </c>
      <c r="H647" s="104">
        <f>L208+L226+L244</f>
        <v>73281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53555.05</v>
      </c>
      <c r="H648" s="104">
        <f>(J257+J338)-(J255+J336)</f>
        <v>53555.05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73281</v>
      </c>
      <c r="H649" s="104">
        <f>H598</f>
        <v>73281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20000</v>
      </c>
      <c r="H652" s="104">
        <f>K263+K345</f>
        <v>20000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3035839.18</v>
      </c>
      <c r="G660" s="19">
        <f>(L229+L309+L359)</f>
        <v>0</v>
      </c>
      <c r="H660" s="19">
        <f>(L247+L328+L360)</f>
        <v>0</v>
      </c>
      <c r="I660" s="19">
        <f>SUM(F660:H660)</f>
        <v>3035839.18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18171.550000000003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18171.550000000003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73281</v>
      </c>
      <c r="G662" s="19">
        <f>(L226+L306)-(J226+J306)</f>
        <v>0</v>
      </c>
      <c r="H662" s="19">
        <f>(L244+L325)-(J244+J325)</f>
        <v>0</v>
      </c>
      <c r="I662" s="19">
        <f>SUM(F662:H662)</f>
        <v>73281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160457.51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160457.51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2783929.12</v>
      </c>
      <c r="G664" s="19">
        <f>G660-SUM(G661:G663)</f>
        <v>0</v>
      </c>
      <c r="H664" s="19">
        <f>H660-SUM(H661:H663)</f>
        <v>0</v>
      </c>
      <c r="I664" s="19">
        <f>I660-SUM(I661:I663)</f>
        <v>2783929.12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146.91999999999999</v>
      </c>
      <c r="G665" s="248"/>
      <c r="H665" s="248"/>
      <c r="I665" s="19">
        <f>SUM(F665:H665)</f>
        <v>146.91999999999999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18948.61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18948.61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18948.61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18948.61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K30" sqref="K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ASHLAND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886343.82</v>
      </c>
      <c r="C9" s="229">
        <f>'DOE25'!G197+'DOE25'!G215+'DOE25'!G233+'DOE25'!G276+'DOE25'!G295+'DOE25'!G314</f>
        <v>456870.17</v>
      </c>
    </row>
    <row r="10" spans="1:3" x14ac:dyDescent="0.2">
      <c r="A10" t="s">
        <v>779</v>
      </c>
      <c r="B10" s="240">
        <f>789314.02+932+62098</f>
        <v>852344.02</v>
      </c>
      <c r="C10" s="240">
        <v>445489.25</v>
      </c>
    </row>
    <row r="11" spans="1:3" x14ac:dyDescent="0.2">
      <c r="A11" t="s">
        <v>780</v>
      </c>
      <c r="B11" s="240">
        <v>15283.8</v>
      </c>
      <c r="C11" s="240">
        <v>9941.7999999999993</v>
      </c>
    </row>
    <row r="12" spans="1:3" x14ac:dyDescent="0.2">
      <c r="A12" t="s">
        <v>781</v>
      </c>
      <c r="B12" s="240">
        <f>16880+1836</f>
        <v>18716</v>
      </c>
      <c r="C12" s="240">
        <f>147.8+1291.32</f>
        <v>1439.12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886343.82000000007</v>
      </c>
      <c r="C13" s="231">
        <f>SUM(C10:C12)</f>
        <v>456870.17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137701.35999999999</v>
      </c>
      <c r="C18" s="229">
        <f>'DOE25'!G198+'DOE25'!G216+'DOE25'!G234+'DOE25'!G277+'DOE25'!G296+'DOE25'!G315</f>
        <v>66347.859999999986</v>
      </c>
    </row>
    <row r="19" spans="1:3" x14ac:dyDescent="0.2">
      <c r="A19" t="s">
        <v>779</v>
      </c>
      <c r="B19" s="240">
        <f>58556+3264</f>
        <v>61820</v>
      </c>
      <c r="C19" s="240">
        <v>38263.07</v>
      </c>
    </row>
    <row r="20" spans="1:3" x14ac:dyDescent="0.2">
      <c r="A20" t="s">
        <v>780</v>
      </c>
      <c r="B20" s="240">
        <f>72113.1+588.4</f>
        <v>72701.5</v>
      </c>
      <c r="C20" s="240">
        <v>27414.07</v>
      </c>
    </row>
    <row r="21" spans="1:3" x14ac:dyDescent="0.2">
      <c r="A21" t="s">
        <v>781</v>
      </c>
      <c r="B21" s="240">
        <f>137.5+3042.36</f>
        <v>3179.86</v>
      </c>
      <c r="C21" s="240">
        <v>670.72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137701.35999999999</v>
      </c>
      <c r="C22" s="231">
        <f>SUM(C19:C21)</f>
        <v>66347.86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24200</v>
      </c>
      <c r="C36" s="235">
        <f>'DOE25'!G200+'DOE25'!G218+'DOE25'!G236+'DOE25'!G279+'DOE25'!G298+'DOE25'!G317</f>
        <v>5152.43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24200</v>
      </c>
      <c r="C39" s="240">
        <v>5152.43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24200</v>
      </c>
      <c r="C40" s="231">
        <f>SUM(C37:C39)</f>
        <v>5152.43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3" sqref="D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ASHLAND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1693565.7299999997</v>
      </c>
      <c r="D5" s="20">
        <f>SUM('DOE25'!L197:L200)+SUM('DOE25'!L215:L218)+SUM('DOE25'!L233:L236)-F5-G5</f>
        <v>1675570.9799999997</v>
      </c>
      <c r="E5" s="243"/>
      <c r="F5" s="255">
        <f>SUM('DOE25'!J197:J200)+SUM('DOE25'!J215:J218)+SUM('DOE25'!J233:J236)</f>
        <v>17605.8</v>
      </c>
      <c r="G5" s="53">
        <f>SUM('DOE25'!K197:K200)+SUM('DOE25'!K215:K218)+SUM('DOE25'!K233:K236)</f>
        <v>388.95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247430.38</v>
      </c>
      <c r="D6" s="20">
        <f>'DOE25'!L202+'DOE25'!L220+'DOE25'!L238-F6-G6</f>
        <v>247430.38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152534.17000000001</v>
      </c>
      <c r="D7" s="20">
        <f>'DOE25'!L203+'DOE25'!L221+'DOE25'!L239-F7-G7</f>
        <v>137908.5</v>
      </c>
      <c r="E7" s="243"/>
      <c r="F7" s="255">
        <f>'DOE25'!J203+'DOE25'!J221+'DOE25'!J239</f>
        <v>14625.67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66987.350000000006</v>
      </c>
      <c r="D8" s="243"/>
      <c r="E8" s="20">
        <f>'DOE25'!L204+'DOE25'!L222+'DOE25'!L240-F8-G8-D9-D11</f>
        <v>63556.890000000007</v>
      </c>
      <c r="F8" s="255">
        <f>'DOE25'!J204+'DOE25'!J222+'DOE25'!J240</f>
        <v>0</v>
      </c>
      <c r="G8" s="53">
        <f>'DOE25'!K204+'DOE25'!K222+'DOE25'!K240</f>
        <v>3430.46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10988.99</v>
      </c>
      <c r="D9" s="244">
        <f>10988.99</f>
        <v>10988.99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38350.65</v>
      </c>
      <c r="D11" s="244">
        <v>38350.65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199970.61</v>
      </c>
      <c r="D12" s="20">
        <f>'DOE25'!L205+'DOE25'!L223+'DOE25'!L241-F12-G12</f>
        <v>199970.61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340342.56</v>
      </c>
      <c r="D14" s="20">
        <f>'DOE25'!L207+'DOE25'!L225+'DOE25'!L243-F14-G14</f>
        <v>321136.84999999998</v>
      </c>
      <c r="E14" s="243"/>
      <c r="F14" s="255">
        <f>'DOE25'!J207+'DOE25'!J225+'DOE25'!J243</f>
        <v>19205.71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73281</v>
      </c>
      <c r="D15" s="20">
        <f>'DOE25'!L208+'DOE25'!L226+'DOE25'!L244-F15-G15</f>
        <v>73281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98016.85</v>
      </c>
      <c r="D29" s="20">
        <f>'DOE25'!L358+'DOE25'!L359+'DOE25'!L360-'DOE25'!I367-F29-G29</f>
        <v>98016.85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114370.88999999998</v>
      </c>
      <c r="D31" s="20">
        <f>'DOE25'!L290+'DOE25'!L309+'DOE25'!L328+'DOE25'!L333+'DOE25'!L334+'DOE25'!L335-F31-G31</f>
        <v>109450.79999999999</v>
      </c>
      <c r="E31" s="243"/>
      <c r="F31" s="255">
        <f>'DOE25'!J290+'DOE25'!J309+'DOE25'!J328+'DOE25'!J333+'DOE25'!J334+'DOE25'!J335</f>
        <v>2117.87</v>
      </c>
      <c r="G31" s="53">
        <f>'DOE25'!K290+'DOE25'!K309+'DOE25'!K328+'DOE25'!K333+'DOE25'!K334+'DOE25'!K335</f>
        <v>2802.22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2912105.61</v>
      </c>
      <c r="E33" s="246">
        <f>SUM(E5:E31)</f>
        <v>71806.890000000014</v>
      </c>
      <c r="F33" s="246">
        <f>SUM(F5:F31)</f>
        <v>53555.05</v>
      </c>
      <c r="G33" s="246">
        <f>SUM(G5:G31)</f>
        <v>6621.6299999999992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71806.890000000014</v>
      </c>
      <c r="E35" s="249"/>
    </row>
    <row r="36" spans="2:8" ht="12" thickTop="1" x14ac:dyDescent="0.2">
      <c r="B36" t="s">
        <v>815</v>
      </c>
      <c r="D36" s="20">
        <f>D33</f>
        <v>2912105.61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K30" sqref="K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363771.95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192431.98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1626800.44</v>
      </c>
      <c r="D11" s="95">
        <f>'DOE25'!G12</f>
        <v>623168.27</v>
      </c>
      <c r="E11" s="95">
        <f>'DOE25'!H12</f>
        <v>913930.5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29332</v>
      </c>
      <c r="D12" s="95">
        <f>'DOE25'!G13</f>
        <v>11305.75</v>
      </c>
      <c r="E12" s="95">
        <f>'DOE25'!H13</f>
        <v>32073.65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267.83999999999997</v>
      </c>
      <c r="D13" s="95">
        <f>'DOE25'!G14</f>
        <v>-527.17999999999995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-7.35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2020164.88</v>
      </c>
      <c r="D18" s="41">
        <f>SUM(D8:D17)</f>
        <v>633946.84</v>
      </c>
      <c r="E18" s="41">
        <f>SUM(E8:E17)</f>
        <v>946004.15</v>
      </c>
      <c r="F18" s="41">
        <f>SUM(F8:F17)</f>
        <v>0</v>
      </c>
      <c r="G18" s="41">
        <f>SUM(G8:G17)</f>
        <v>192431.98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1607270.22</v>
      </c>
      <c r="D21" s="95">
        <f>'DOE25'!G22</f>
        <v>619399.72</v>
      </c>
      <c r="E21" s="95">
        <f>'DOE25'!H22</f>
        <v>937229.27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67923.810000000012</v>
      </c>
      <c r="D23" s="95">
        <f>'DOE25'!G24</f>
        <v>7830.05</v>
      </c>
      <c r="E23" s="95">
        <f>'DOE25'!H24</f>
        <v>2360.71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-599.19999999999993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11481.34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1686076.1700000002</v>
      </c>
      <c r="D31" s="41">
        <f>SUM(D21:D30)</f>
        <v>627229.77</v>
      </c>
      <c r="E31" s="41">
        <f>SUM(E21:E30)</f>
        <v>939589.98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6717.07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6414.17</v>
      </c>
      <c r="F47" s="95">
        <f>'DOE25'!I48</f>
        <v>0</v>
      </c>
      <c r="G47" s="95">
        <f>'DOE25'!J48</f>
        <v>192431.98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85282.4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173806.31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334088.70999999996</v>
      </c>
      <c r="D50" s="41">
        <f>SUM(D34:D49)</f>
        <v>6717.07</v>
      </c>
      <c r="E50" s="41">
        <f>SUM(E34:E49)</f>
        <v>6414.17</v>
      </c>
      <c r="F50" s="41">
        <f>SUM(F34:F49)</f>
        <v>0</v>
      </c>
      <c r="G50" s="41">
        <f>SUM(G34:G49)</f>
        <v>192431.98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2020164.8800000001</v>
      </c>
      <c r="D51" s="41">
        <f>D50+D31</f>
        <v>633946.84</v>
      </c>
      <c r="E51" s="41">
        <f>E50+E31</f>
        <v>946004.15</v>
      </c>
      <c r="F51" s="41">
        <f>F50+F31</f>
        <v>0</v>
      </c>
      <c r="G51" s="41">
        <f>G50+G31</f>
        <v>192431.98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2068825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497.64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537.4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18171.550000000003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1931.33</v>
      </c>
      <c r="D61" s="95">
        <f>SUM('DOE25'!G98:G110)</f>
        <v>0</v>
      </c>
      <c r="E61" s="95">
        <f>SUM('DOE25'!H98:H110)</f>
        <v>3222.93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2428.9699999999998</v>
      </c>
      <c r="D62" s="130">
        <f>SUM(D57:D61)</f>
        <v>18171.550000000003</v>
      </c>
      <c r="E62" s="130">
        <f>SUM(E57:E61)</f>
        <v>3222.93</v>
      </c>
      <c r="F62" s="130">
        <f>SUM(F57:F61)</f>
        <v>0</v>
      </c>
      <c r="G62" s="130">
        <f>SUM(G57:G61)</f>
        <v>537.4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2071253.97</v>
      </c>
      <c r="D63" s="22">
        <f>D56+D62</f>
        <v>18171.550000000003</v>
      </c>
      <c r="E63" s="22">
        <f>E56+E62</f>
        <v>3222.93</v>
      </c>
      <c r="F63" s="22">
        <f>F56+F62</f>
        <v>0</v>
      </c>
      <c r="G63" s="22">
        <f>G56+G62</f>
        <v>537.4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560454.77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373228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933682.77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5589.86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1242.3800000000001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5589.86</v>
      </c>
      <c r="D78" s="130">
        <f>SUM(D72:D77)</f>
        <v>1242.3800000000001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939272.63</v>
      </c>
      <c r="D81" s="130">
        <f>SUM(D79:D80)+D78+D70</f>
        <v>1242.3800000000001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39606.36</v>
      </c>
      <c r="D88" s="95">
        <f>SUM('DOE25'!G153:G161)</f>
        <v>58261.340000000004</v>
      </c>
      <c r="E88" s="95">
        <f>SUM('DOE25'!H153:H161)</f>
        <v>112798.03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332.66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39939.020000000004</v>
      </c>
      <c r="D91" s="131">
        <f>SUM(D85:D90)</f>
        <v>58261.340000000004</v>
      </c>
      <c r="E91" s="131">
        <f>SUM(E85:E90)</f>
        <v>112798.03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3050465.62</v>
      </c>
      <c r="D104" s="86">
        <f>D63+D81+D91+D103</f>
        <v>97675.27</v>
      </c>
      <c r="E104" s="86">
        <f>E63+E81+E91+E103</f>
        <v>116020.95999999999</v>
      </c>
      <c r="F104" s="86">
        <f>F63+F81+F91+F103</f>
        <v>0</v>
      </c>
      <c r="G104" s="86">
        <f>G63+G81+G103</f>
        <v>50537.4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1311513.8899999999</v>
      </c>
      <c r="D109" s="24" t="s">
        <v>289</v>
      </c>
      <c r="E109" s="95">
        <f>('DOE25'!L276)+('DOE25'!L295)+('DOE25'!L314)</f>
        <v>81623.729999999981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344494.91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37556.93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1693565.7299999997</v>
      </c>
      <c r="D115" s="86">
        <f>SUM(D109:D114)</f>
        <v>0</v>
      </c>
      <c r="E115" s="86">
        <f>SUM(E109:E114)</f>
        <v>81623.729999999981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247430.38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152534.17000000001</v>
      </c>
      <c r="D119" s="24" t="s">
        <v>289</v>
      </c>
      <c r="E119" s="95">
        <f>+('DOE25'!L282)+('DOE25'!L301)+('DOE25'!L320)</f>
        <v>29944.94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116326.99000000002</v>
      </c>
      <c r="D120" s="24" t="s">
        <v>289</v>
      </c>
      <c r="E120" s="95">
        <f>+('DOE25'!L283)+('DOE25'!L302)+('DOE25'!L321)</f>
        <v>2802.22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199970.61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340342.56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73281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98016.85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1129885.71</v>
      </c>
      <c r="D128" s="86">
        <f>SUM(D118:D127)</f>
        <v>98016.85</v>
      </c>
      <c r="E128" s="86">
        <f>SUM(E118:E127)</f>
        <v>32747.16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50537.399999999994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-537.39999999999418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2893451.4399999995</v>
      </c>
      <c r="D145" s="86">
        <f>(D115+D128+D144)</f>
        <v>98016.85</v>
      </c>
      <c r="E145" s="86">
        <f>(E115+E128+E144)</f>
        <v>114370.88999999998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ASHLAND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18949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18949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1393138</v>
      </c>
      <c r="D10" s="182">
        <f>ROUND((C10/$C$28)*100,1)</f>
        <v>46.2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344495</v>
      </c>
      <c r="D11" s="182">
        <f>ROUND((C11/$C$28)*100,1)</f>
        <v>11.4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37557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247430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182479</v>
      </c>
      <c r="D16" s="182">
        <f t="shared" si="0"/>
        <v>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119129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199971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340343</v>
      </c>
      <c r="D20" s="182">
        <f t="shared" si="0"/>
        <v>11.3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73281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79845.45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3017668.45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3017668.45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2068825</v>
      </c>
      <c r="D35" s="182">
        <f t="shared" ref="D35:D40" si="1">ROUND((C35/$C$41)*100,1)</f>
        <v>64.099999999999994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6189.2999999998137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933683</v>
      </c>
      <c r="D37" s="182">
        <f t="shared" si="1"/>
        <v>28.9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6832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210998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3226527.3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ASHLAND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2016-08-30T14:42:53Z</cp:lastPrinted>
  <dcterms:created xsi:type="dcterms:W3CDTF">1997-12-04T19:04:30Z</dcterms:created>
  <dcterms:modified xsi:type="dcterms:W3CDTF">2016-09-15T13:50:12Z</dcterms:modified>
</cp:coreProperties>
</file>