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workbookPassword="AF0A" lockStructure="1"/>
  <bookViews>
    <workbookView xWindow="765" yWindow="105" windowWidth="38640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3" l="1"/>
  <c r="B19" i="12"/>
  <c r="C20" i="12"/>
  <c r="C19" i="12"/>
  <c r="C21" i="12"/>
  <c r="B21" i="12"/>
  <c r="B20" i="12"/>
  <c r="C39" i="12"/>
  <c r="B39" i="12"/>
  <c r="B10" i="12"/>
  <c r="C11" i="12"/>
  <c r="B11" i="12"/>
  <c r="C12" i="12"/>
  <c r="B12" i="12"/>
  <c r="C10" i="12"/>
  <c r="K531" i="1"/>
  <c r="J533" i="1"/>
  <c r="J532" i="1"/>
  <c r="I533" i="1"/>
  <c r="I532" i="1"/>
  <c r="J531" i="1"/>
  <c r="I531" i="1"/>
  <c r="H531" i="1"/>
  <c r="H533" i="1"/>
  <c r="H532" i="1"/>
  <c r="G532" i="1"/>
  <c r="G531" i="1"/>
  <c r="F533" i="1"/>
  <c r="F532" i="1"/>
  <c r="F531" i="1"/>
  <c r="H542" i="1"/>
  <c r="H541" i="1"/>
  <c r="H538" i="1"/>
  <c r="H537" i="1"/>
  <c r="H536" i="1"/>
  <c r="H526" i="1"/>
  <c r="G526" i="1"/>
  <c r="F526" i="1"/>
  <c r="K527" i="1"/>
  <c r="K526" i="1"/>
  <c r="I527" i="1"/>
  <c r="I526" i="1"/>
  <c r="H527" i="1"/>
  <c r="G527" i="1"/>
  <c r="F527" i="1"/>
  <c r="J527" i="1"/>
  <c r="J526" i="1"/>
  <c r="H359" i="1"/>
  <c r="H358" i="1"/>
  <c r="H203" i="1"/>
  <c r="G220" i="1"/>
  <c r="G202" i="1"/>
  <c r="J203" i="1"/>
  <c r="F221" i="1"/>
  <c r="I203" i="1"/>
  <c r="G203" i="1"/>
  <c r="J202" i="1"/>
  <c r="I202" i="1"/>
  <c r="F203" i="1"/>
  <c r="F202" i="1"/>
  <c r="F191" i="1"/>
  <c r="I197" i="1"/>
  <c r="F215" i="1"/>
  <c r="F197" i="1"/>
  <c r="H225" i="1"/>
  <c r="I225" i="1"/>
  <c r="I207" i="1"/>
  <c r="H207" i="1"/>
  <c r="F242" i="1"/>
  <c r="F240" i="1"/>
  <c r="F225" i="1"/>
  <c r="F224" i="1"/>
  <c r="F223" i="1"/>
  <c r="F222" i="1"/>
  <c r="F216" i="1"/>
  <c r="F207" i="1"/>
  <c r="F206" i="1"/>
  <c r="F205" i="1"/>
  <c r="F204" i="1"/>
  <c r="F198" i="1"/>
  <c r="G225" i="1"/>
  <c r="G207" i="1"/>
  <c r="K221" i="1"/>
  <c r="J221" i="1"/>
  <c r="I221" i="1"/>
  <c r="I220" i="1"/>
  <c r="H221" i="1"/>
  <c r="G221" i="1"/>
  <c r="K220" i="1"/>
  <c r="H220" i="1"/>
  <c r="F220" i="1"/>
  <c r="J216" i="1"/>
  <c r="H216" i="1"/>
  <c r="G216" i="1"/>
  <c r="I215" i="1"/>
  <c r="G215" i="1"/>
  <c r="J207" i="1"/>
  <c r="I206" i="1"/>
  <c r="H206" i="1"/>
  <c r="G206" i="1"/>
  <c r="I224" i="1"/>
  <c r="H224" i="1"/>
  <c r="G224" i="1"/>
  <c r="I242" i="1"/>
  <c r="H242" i="1"/>
  <c r="G242" i="1"/>
  <c r="K240" i="1"/>
  <c r="J240" i="1"/>
  <c r="I240" i="1"/>
  <c r="H240" i="1"/>
  <c r="G240" i="1"/>
  <c r="K222" i="1"/>
  <c r="J222" i="1"/>
  <c r="I222" i="1"/>
  <c r="H222" i="1"/>
  <c r="G222" i="1"/>
  <c r="K204" i="1"/>
  <c r="J204" i="1"/>
  <c r="I204" i="1"/>
  <c r="H204" i="1"/>
  <c r="G204" i="1"/>
  <c r="K203" i="1"/>
  <c r="H202" i="1"/>
  <c r="J198" i="1"/>
  <c r="H198" i="1"/>
  <c r="G198" i="1"/>
  <c r="G197" i="1"/>
  <c r="H208" i="1"/>
  <c r="K205" i="1"/>
  <c r="J205" i="1"/>
  <c r="I205" i="1"/>
  <c r="H205" i="1"/>
  <c r="G205" i="1"/>
  <c r="I198" i="1"/>
  <c r="J197" i="1"/>
  <c r="H197" i="1"/>
  <c r="H226" i="1"/>
  <c r="K223" i="1"/>
  <c r="J223" i="1"/>
  <c r="I223" i="1"/>
  <c r="H223" i="1"/>
  <c r="G223" i="1"/>
  <c r="J220" i="1"/>
  <c r="K218" i="1"/>
  <c r="I218" i="1"/>
  <c r="F218" i="1"/>
  <c r="G218" i="1"/>
  <c r="I216" i="1"/>
  <c r="J215" i="1"/>
  <c r="H215" i="1"/>
  <c r="H244" i="1"/>
  <c r="J234" i="1"/>
  <c r="H234" i="1"/>
  <c r="G234" i="1"/>
  <c r="F234" i="1"/>
  <c r="H233" i="1"/>
  <c r="G296" i="1"/>
  <c r="G276" i="1"/>
  <c r="H301" i="1"/>
  <c r="I282" i="1"/>
  <c r="H282" i="1"/>
  <c r="G277" i="1"/>
  <c r="F277" i="1"/>
  <c r="I276" i="1"/>
  <c r="H276" i="1"/>
  <c r="F276" i="1"/>
  <c r="J276" i="1"/>
  <c r="H155" i="1"/>
  <c r="H154" i="1"/>
  <c r="G158" i="1"/>
  <c r="K359" i="1"/>
  <c r="K358" i="1"/>
  <c r="J358" i="1"/>
  <c r="H595" i="1"/>
  <c r="H592" i="1"/>
  <c r="G611" i="1"/>
  <c r="J472" i="1"/>
  <c r="J468" i="1"/>
  <c r="H415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63" i="2" s="1"/>
  <c r="G59" i="2"/>
  <c r="G61" i="2"/>
  <c r="F2" i="11"/>
  <c r="L613" i="1"/>
  <c r="H663" i="1"/>
  <c r="L612" i="1"/>
  <c r="G663" i="1"/>
  <c r="L611" i="1"/>
  <c r="F663" i="1"/>
  <c r="I663" i="1" s="1"/>
  <c r="C40" i="10"/>
  <c r="F60" i="1"/>
  <c r="G60" i="1"/>
  <c r="H60" i="1"/>
  <c r="I60" i="1"/>
  <c r="I112" i="1" s="1"/>
  <c r="F79" i="1"/>
  <c r="F94" i="1"/>
  <c r="F111" i="1"/>
  <c r="G111" i="1"/>
  <c r="G112" i="1"/>
  <c r="H79" i="1"/>
  <c r="H94" i="1"/>
  <c r="H111" i="1"/>
  <c r="I111" i="1"/>
  <c r="J111" i="1"/>
  <c r="J112" i="1" s="1"/>
  <c r="J193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/>
  <c r="I457" i="1"/>
  <c r="J37" i="1"/>
  <c r="I459" i="1"/>
  <c r="J48" i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D145" i="2" s="1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H52" i="1" s="1"/>
  <c r="H619" i="1" s="1"/>
  <c r="J619" i="1" s="1"/>
  <c r="I32" i="1"/>
  <c r="H617" i="1"/>
  <c r="G52" i="1"/>
  <c r="H618" i="1"/>
  <c r="H51" i="1"/>
  <c r="I51" i="1"/>
  <c r="I52" i="1" s="1"/>
  <c r="H620" i="1" s="1"/>
  <c r="J620" i="1" s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K337" i="1"/>
  <c r="K338" i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J649" i="1" s="1"/>
  <c r="I598" i="1"/>
  <c r="H650" i="1" s="1"/>
  <c r="J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L257" i="1"/>
  <c r="L271" i="1" s="1"/>
  <c r="G632" i="1" s="1"/>
  <c r="J632" i="1" s="1"/>
  <c r="K257" i="1"/>
  <c r="K271" i="1"/>
  <c r="I257" i="1"/>
  <c r="I271" i="1"/>
  <c r="G257" i="1"/>
  <c r="G271" i="1"/>
  <c r="G164" i="2"/>
  <c r="C18" i="2"/>
  <c r="C26" i="10"/>
  <c r="L328" i="1"/>
  <c r="H660" i="1" s="1"/>
  <c r="L351" i="1"/>
  <c r="I662" i="1"/>
  <c r="L290" i="1"/>
  <c r="F660" i="1"/>
  <c r="A31" i="12"/>
  <c r="C70" i="2"/>
  <c r="A40" i="12"/>
  <c r="D12" i="13"/>
  <c r="C12" i="13" s="1"/>
  <c r="D62" i="2"/>
  <c r="D63" i="2" s="1"/>
  <c r="D104" i="2" s="1"/>
  <c r="D18" i="13"/>
  <c r="C18" i="13" s="1"/>
  <c r="D15" i="13"/>
  <c r="C15" i="13" s="1"/>
  <c r="D7" i="13"/>
  <c r="C7" i="13" s="1"/>
  <c r="D18" i="2"/>
  <c r="D17" i="13"/>
  <c r="C17" i="13"/>
  <c r="D6" i="13"/>
  <c r="C6" i="13"/>
  <c r="E8" i="13"/>
  <c r="C8" i="13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104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J644" i="1"/>
  <c r="J643" i="1"/>
  <c r="J476" i="1"/>
  <c r="H626" i="1" s="1"/>
  <c r="H476" i="1"/>
  <c r="H624" i="1" s="1"/>
  <c r="J624" i="1" s="1"/>
  <c r="F476" i="1"/>
  <c r="H622" i="1"/>
  <c r="J622" i="1" s="1"/>
  <c r="I476" i="1"/>
  <c r="H625" i="1" s="1"/>
  <c r="J625" i="1" s="1"/>
  <c r="G476" i="1"/>
  <c r="H623" i="1"/>
  <c r="J623" i="1" s="1"/>
  <c r="G338" i="1"/>
  <c r="G352" i="1" s="1"/>
  <c r="F169" i="1"/>
  <c r="J140" i="1"/>
  <c r="F571" i="1"/>
  <c r="H257" i="1"/>
  <c r="H271" i="1"/>
  <c r="F664" i="1"/>
  <c r="F667" i="1" s="1"/>
  <c r="K598" i="1"/>
  <c r="G647" i="1" s="1"/>
  <c r="J647" i="1" s="1"/>
  <c r="C29" i="10"/>
  <c r="I661" i="1"/>
  <c r="H140" i="1"/>
  <c r="L401" i="1"/>
  <c r="C139" i="2"/>
  <c r="L393" i="1"/>
  <c r="A13" i="12"/>
  <c r="F22" i="13"/>
  <c r="H25" i="13"/>
  <c r="H33" i="13" s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E145" i="2" s="1"/>
  <c r="C35" i="10"/>
  <c r="L309" i="1"/>
  <c r="D5" i="13"/>
  <c r="C5" i="13" s="1"/>
  <c r="E16" i="13"/>
  <c r="C16" i="13" s="1"/>
  <c r="J655" i="1"/>
  <c r="J645" i="1"/>
  <c r="L570" i="1"/>
  <c r="I571" i="1"/>
  <c r="I545" i="1"/>
  <c r="G36" i="2"/>
  <c r="L565" i="1"/>
  <c r="L571" i="1" s="1"/>
  <c r="G545" i="1"/>
  <c r="L545" i="1"/>
  <c r="H545" i="1"/>
  <c r="C22" i="13"/>
  <c r="C138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/>
  <c r="L338" i="1"/>
  <c r="L352" i="1" s="1"/>
  <c r="G633" i="1" s="1"/>
  <c r="J633" i="1" s="1"/>
  <c r="C24" i="10"/>
  <c r="G660" i="1"/>
  <c r="G664" i="1"/>
  <c r="G667" i="1" s="1"/>
  <c r="G31" i="13"/>
  <c r="G33" i="13"/>
  <c r="I338" i="1"/>
  <c r="I352" i="1"/>
  <c r="L407" i="1"/>
  <c r="C140" i="2" s="1"/>
  <c r="C141" i="2" s="1"/>
  <c r="I192" i="1"/>
  <c r="E91" i="2"/>
  <c r="D51" i="2"/>
  <c r="J654" i="1"/>
  <c r="J653" i="1"/>
  <c r="L434" i="1"/>
  <c r="G638" i="1" s="1"/>
  <c r="J638" i="1" s="1"/>
  <c r="J434" i="1"/>
  <c r="F434" i="1"/>
  <c r="K434" i="1"/>
  <c r="G134" i="2"/>
  <c r="G144" i="2" s="1"/>
  <c r="G145" i="2" s="1"/>
  <c r="F31" i="13"/>
  <c r="F33" i="13" s="1"/>
  <c r="H193" i="1"/>
  <c r="G629" i="1"/>
  <c r="J629" i="1" s="1"/>
  <c r="G169" i="1"/>
  <c r="C39" i="10" s="1"/>
  <c r="G140" i="1"/>
  <c r="F140" i="1"/>
  <c r="F193" i="1"/>
  <c r="G627" i="1" s="1"/>
  <c r="J627" i="1" s="1"/>
  <c r="J618" i="1"/>
  <c r="G672" i="1"/>
  <c r="C5" i="10" s="1"/>
  <c r="G42" i="2"/>
  <c r="G16" i="2"/>
  <c r="D31" i="13"/>
  <c r="C31" i="13" s="1"/>
  <c r="F545" i="1"/>
  <c r="H434" i="1"/>
  <c r="D103" i="2"/>
  <c r="I140" i="1"/>
  <c r="A22" i="12"/>
  <c r="J652" i="1"/>
  <c r="J642" i="1"/>
  <c r="G571" i="1"/>
  <c r="I434" i="1"/>
  <c r="G434" i="1"/>
  <c r="C27" i="10"/>
  <c r="C28" i="10"/>
  <c r="D24" i="10" s="1"/>
  <c r="G635" i="1"/>
  <c r="J635" i="1"/>
  <c r="C51" i="2"/>
  <c r="G193" i="1"/>
  <c r="G628" i="1" s="1"/>
  <c r="J628" i="1" s="1"/>
  <c r="C38" i="10"/>
  <c r="D19" i="10"/>
  <c r="D25" i="10"/>
  <c r="D15" i="10"/>
  <c r="D20" i="10"/>
  <c r="F672" i="1" l="1"/>
  <c r="C4" i="10" s="1"/>
  <c r="K550" i="1"/>
  <c r="H664" i="1"/>
  <c r="I660" i="1"/>
  <c r="I664" i="1" s="1"/>
  <c r="J352" i="1"/>
  <c r="H648" i="1"/>
  <c r="J648" i="1" s="1"/>
  <c r="C144" i="2"/>
  <c r="C145" i="2" s="1"/>
  <c r="J552" i="1"/>
  <c r="K549" i="1"/>
  <c r="F552" i="1"/>
  <c r="K551" i="1"/>
  <c r="J32" i="1"/>
  <c r="G21" i="2"/>
  <c r="G31" i="2" s="1"/>
  <c r="I552" i="1"/>
  <c r="I193" i="1"/>
  <c r="G630" i="1" s="1"/>
  <c r="J630" i="1" s="1"/>
  <c r="C36" i="10"/>
  <c r="C104" i="2"/>
  <c r="G8" i="2"/>
  <c r="G18" i="2" s="1"/>
  <c r="J19" i="1"/>
  <c r="G621" i="1" s="1"/>
  <c r="G552" i="1"/>
  <c r="G646" i="1"/>
  <c r="G631" i="1"/>
  <c r="J631" i="1" s="1"/>
  <c r="G104" i="2"/>
  <c r="G38" i="2"/>
  <c r="G50" i="2" s="1"/>
  <c r="G51" i="2" s="1"/>
  <c r="J51" i="1"/>
  <c r="D27" i="10"/>
  <c r="D18" i="10"/>
  <c r="D12" i="10"/>
  <c r="D10" i="10"/>
  <c r="D26" i="10"/>
  <c r="C30" i="10"/>
  <c r="D16" i="10"/>
  <c r="D23" i="10"/>
  <c r="D33" i="13"/>
  <c r="D36" i="13" s="1"/>
  <c r="L408" i="1"/>
  <c r="E33" i="13"/>
  <c r="D35" i="13" s="1"/>
  <c r="C25" i="13"/>
  <c r="D13" i="10"/>
  <c r="D11" i="10"/>
  <c r="D21" i="10"/>
  <c r="D22" i="10"/>
  <c r="D17" i="10"/>
  <c r="D28" i="10" l="1"/>
  <c r="G626" i="1"/>
  <c r="J626" i="1" s="1"/>
  <c r="J52" i="1"/>
  <c r="H621" i="1" s="1"/>
  <c r="J621" i="1" s="1"/>
  <c r="H672" i="1"/>
  <c r="C6" i="10" s="1"/>
  <c r="H667" i="1"/>
  <c r="C41" i="10"/>
  <c r="K552" i="1"/>
  <c r="G637" i="1"/>
  <c r="J637" i="1" s="1"/>
  <c r="H646" i="1"/>
  <c r="J646" i="1" s="1"/>
  <c r="I672" i="1"/>
  <c r="C7" i="10" s="1"/>
  <c r="I667" i="1"/>
  <c r="D40" i="10" l="1"/>
  <c r="D35" i="10"/>
  <c r="D37" i="10"/>
  <c r="D38" i="10"/>
  <c r="D39" i="10"/>
  <c r="H656" i="1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<sst xmlns="http://schemas.openxmlformats.org/spreadsheetml/2006/main" count="3964" uniqueCount="915">
  <si>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</si>
  <si>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</si>
  <si>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</si>
  <si>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</si>
  <si>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</si>
  <si>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</si>
  <si>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</si>
  <si>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</si>
  <si>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</si>
  <si>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</si>
  <si>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</si>
  <si>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</si>
  <si>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</si>
  <si>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</si>
  <si>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</si>
  <si>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</si>
  <si>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</si>
  <si>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</si>
  <si>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</si>
  <si>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</si>
  <si>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</si>
  <si>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</si>
  <si>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</si>
  <si>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</si>
  <si>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</si>
  <si>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</si>
  <si>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</si>
  <si>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</si>
  <si>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</si>
  <si>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</si>
  <si>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</si>
  <si>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</si>
  <si>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</si>
  <si>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</si>
  <si>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</si>
  <si>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</si>
  <si>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</si>
  <si>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</si>
  <si>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</si>
  <si>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</si>
  <si>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</si>
  <si>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</si>
  <si>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</si>
  <si>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</si>
  <si>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</si>
  <si>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</si>
  <si>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</si>
  <si>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</si>
  <si>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</si>
  <si>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</si>
  <si>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</si>
  <si>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</si>
  <si>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</si>
  <si>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</si>
  <si>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</si>
  <si>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</si>
  <si>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</si>
  <si>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</si>
  <si>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</si>
  <si>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</si>
  <si>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</si>
  <si>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</si>
  <si>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</si>
  <si>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</si>
  <si>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</si>
  <si>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</si>
  <si>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</si>
  <si>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</si>
  <si>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</si>
  <si>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</si>
  <si>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</si>
  <si>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</si>
  <si>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</si>
  <si>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</si>
  <si>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</si>
  <si>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</si>
  <si>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</si>
  <si>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</si>
  <si>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</si>
  <si>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</si>
  <si>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</si>
  <si>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</si>
  <si>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</si>
  <si>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</si>
  <si>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</si>
  <si>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</si>
  <si>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</si>
  <si>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</si>
  <si>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</si>
  <si>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</si>
  <si>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</si>
  <si>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</si>
  <si>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</si>
  <si>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</si>
  <si>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</si>
  <si>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</si>
  <si>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</si>
  <si>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</si>
  <si>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</si>
  <si>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</si>
  <si>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</si>
  <si>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</si>
  <si>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</si>
  <si>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</si>
  <si>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</si>
  <si>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</si>
  <si>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</si>
  <si>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</si>
  <si>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</si>
  <si>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</si>
  <si>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</si>
  <si>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</si>
  <si>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</si>
  <si>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</si>
  <si>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</si>
  <si>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</si>
  <si>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</si>
  <si>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</si>
  <si>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</si>
  <si>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</si>
  <si>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</si>
  <si>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</si>
  <si>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</si>
  <si>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</si>
  <si>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</si>
  <si>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</si>
  <si>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</si>
  <si>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</si>
  <si>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</si>
  <si>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</si>
  <si>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</si>
  <si>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</si>
  <si>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</si>
  <si>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</si>
  <si>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</si>
  <si>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</si>
  <si>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</si>
  <si>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</si>
  <si>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</si>
  <si>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</si>
  <si>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</si>
  <si>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</si>
  <si>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</si>
  <si>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</si>
  <si>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</si>
  <si>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</si>
  <si>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</si>
  <si>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</si>
  <si>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</si>
  <si>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</si>
  <si>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</si>
  <si>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</si>
  <si>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</si>
  <si>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</si>
  <si>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</si>
  <si>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</si>
  <si>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</si>
  <si>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</si>
  <si>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</si>
  <si>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</si>
  <si>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</si>
  <si>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</si>
  <si>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</si>
  <si>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</si>
  <si>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</si>
  <si>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</si>
  <si>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</si>
  <si>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</si>
  <si>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</si>
  <si>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</si>
  <si>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</si>
  <si>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</si>
  <si>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</si>
  <si>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</si>
  <si>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</si>
  <si>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</si>
  <si>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</si>
  <si>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</si>
  <si>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</si>
  <si>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</si>
  <si>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</si>
  <si>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</si>
  <si>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</si>
  <si>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</si>
  <si>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</si>
  <si>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</si>
  <si>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</si>
  <si>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</si>
  <si>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</si>
  <si>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</si>
  <si>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</si>
  <si>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</si>
  <si>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</si>
  <si>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</si>
  <si>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</si>
  <si>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</si>
  <si>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</si>
  <si>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</si>
  <si>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</si>
  <si>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</si>
  <si>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</si>
  <si>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</si>
  <si>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</si>
  <si>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</si>
  <si>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</si>
  <si>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</si>
  <si>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</si>
  <si>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</si>
  <si>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</si>
  <si>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</si>
  <si>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</si>
  <si>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</si>
  <si>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</si>
  <si>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</si>
  <si>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</si>
  <si>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</si>
  <si>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</si>
  <si>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</si>
  <si>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</si>
  <si>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</si>
  <si>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</si>
  <si>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</si>
  <si>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</si>
  <si>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</si>
  <si>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</si>
  <si>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</si>
  <si>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</si>
  <si>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</si>
  <si>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</si>
  <si>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</si>
  <si>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</si>
  <si>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</si>
  <si>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</si>
  <si>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</si>
  <si>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</si>
  <si>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</si>
  <si>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</si>
  <si>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</si>
  <si>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</si>
  <si>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</si>
  <si>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</si>
  <si>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</si>
  <si>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</si>
  <si>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</si>
  <si>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</si>
  <si>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</si>
  <si>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</si>
  <si>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</si>
  <si>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</si>
  <si>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</si>
  <si>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</si>
  <si>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</si>
  <si>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</si>
  <si>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</si>
  <si>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</si>
  <si>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</si>
  <si>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</si>
  <si>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</si>
  <si>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</si>
  <si>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</si>
  <si>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</si>
  <si>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</si>
  <si>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</si>
  <si>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</si>
  <si>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</si>
  <si>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</si>
  <si>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</si>
  <si>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</si>
  <si>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</si>
  <si>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</si>
  <si>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</si>
  <si>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</si>
  <si>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</si>
  <si>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</si>
  <si>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</si>
  <si>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</si>
  <si>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</si>
  <si>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</si>
  <si>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</si>
  <si>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</si>
  <si>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</si>
  <si>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</si>
  <si>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</si>
  <si>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</si>
  <si>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</si>
  <si>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</si>
  <si>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</si>
  <si>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</si>
  <si>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</si>
  <si>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</si>
  <si>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</si>
  <si>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</si>
  <si>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</si>
  <si>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</si>
  <si>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</si>
  <si>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</si>
  <si>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</si>
  <si>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</si>
  <si>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</si>
  <si>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</si>
  <si>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</si>
  <si>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</si>
  <si>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</si>
  <si>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</si>
  <si>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</si>
  <si>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</si>
  <si>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</si>
  <si>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</si>
  <si>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</si>
  <si>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</si>
  <si>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</si>
  <si>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</si>
  <si>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</si>
  <si>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</si>
  <si>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</si>
  <si>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</si>
  <si>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</si>
  <si>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</si>
  <si>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</si>
  <si>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</si>
  <si>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</si>
  <si>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</si>
  <si>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</si>
  <si>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</si>
  <si>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</si>
  <si>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</si>
  <si>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</si>
  <si>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</si>
  <si>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</si>
  <si>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</si>
  <si>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</si>
  <si>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</si>
  <si>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</si>
  <si>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</si>
  <si>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</si>
  <si>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</si>
  <si>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</si>
  <si>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</si>
  <si>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</si>
  <si>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</si>
  <si>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</si>
  <si>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</si>
  <si>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</si>
  <si>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</si>
  <si>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</si>
  <si>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</si>
  <si>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</si>
  <si>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</si>
  <si>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</si>
  <si>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</si>
  <si>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</si>
  <si>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</si>
  <si>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</si>
  <si>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</si>
  <si>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</si>
  <si>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</si>
  <si>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</si>
  <si>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</si>
  <si>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</si>
  <si>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</si>
  <si>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</si>
  <si>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</si>
  <si>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</si>
  <si>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</si>
  <si>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</si>
  <si>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</si>
  <si>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</si>
  <si>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</si>
  <si>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</si>
  <si>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</si>
  <si>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</si>
  <si>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</si>
  <si>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</si>
  <si>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</si>
  <si>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</si>
  <si>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</si>
  <si>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</si>
  <si>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</si>
  <si>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</si>
  <si>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</si>
  <si>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</si>
  <si>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</si>
  <si>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</si>
  <si>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</si>
  <si>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</si>
  <si>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</si>
  <si>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</si>
  <si>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</si>
  <si>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</si>
  <si>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</si>
  <si>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</si>
  <si>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</si>
  <si>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</si>
  <si>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</si>
  <si>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</si>
  <si>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</si>
  <si>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</si>
  <si>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</si>
  <si>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</si>
  <si>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</si>
  <si>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</si>
  <si>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</si>
  <si>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</si>
  <si>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</si>
  <si>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</si>
  <si>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</si>
  <si>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</si>
  <si>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</si>
  <si>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</si>
  <si>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</si>
  <si>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</si>
  <si>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</si>
  <si>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</si>
  <si>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</si>
  <si>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</si>
  <si>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</si>
  <si>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</si>
  <si>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</si>
  <si>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</si>
  <si>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</si>
  <si>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</si>
  <si>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</si>
  <si>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</si>
  <si>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</si>
  <si>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</si>
  <si>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</si>
  <si>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</si>
  <si>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</si>
  <si>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</si>
  <si>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</si>
  <si>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</si>
  <si>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</si>
  <si>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</si>
  <si>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</si>
  <si>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</si>
  <si>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</si>
  <si>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</si>
  <si>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</si>
  <si>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</si>
  <si>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</si>
  <si>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</si>
  <si>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</si>
  <si>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</si>
  <si>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</si>
  <si>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</si>
  <si>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</si>
  <si>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</si>
  <si>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</si>
  <si>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</si>
  <si>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</si>
  <si>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</si>
  <si>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</si>
  <si>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</si>
  <si>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</si>
  <si>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</si>
  <si>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</si>
  <si>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</si>
  <si>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</si>
  <si>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</si>
  <si>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</si>
  <si>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</si>
  <si>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</si>
  <si>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</si>
  <si>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</si>
  <si>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</si>
  <si>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</si>
  <si>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</si>
  <si>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</si>
  <si>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</si>
  <si>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</si>
  <si>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</si>
  <si>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</si>
  <si>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</si>
  <si>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</si>
  <si>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</si>
  <si>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</si>
  <si>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</si>
  <si>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</si>
  <si>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</si>
  <si>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</si>
  <si>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</si>
  <si>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</si>
  <si>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</si>
  <si>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</si>
  <si>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</si>
  <si>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</si>
  <si>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</si>
  <si>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</si>
  <si>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</si>
  <si>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</si>
  <si>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</si>
  <si>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</si>
  <si>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</si>
  <si>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</si>
  <si>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</si>
  <si>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</si>
  <si>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</si>
  <si>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</si>
  <si>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</si>
  <si>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</si>
  <si>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</si>
  <si>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</si>
  <si>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</si>
  <si>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</si>
  <si>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</si>
  <si>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</si>
  <si>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</si>
  <si>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</si>
  <si>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</si>
  <si>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</si>
  <si>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</si>
  <si>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</si>
  <si>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</si>
  <si>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</si>
  <si>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</si>
  <si>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</si>
  <si>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</si>
  <si>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</si>
  <si>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</si>
  <si>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</si>
  <si>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</si>
  <si>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</si>
  <si>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</si>
  <si>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</si>
  <si>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</si>
  <si>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</si>
  <si>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</si>
  <si>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</si>
  <si>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</si>
  <si>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</si>
  <si>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</si>
  <si>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</si>
  <si>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</si>
  <si>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</si>
  <si>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</si>
  <si>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</si>
  <si>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</si>
  <si>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</si>
  <si>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</si>
  <si>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</si>
  <si>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</si>
  <si>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</si>
  <si>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</si>
  <si>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</si>
  <si>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</si>
  <si>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</si>
  <si>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</si>
  <si>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</si>
  <si>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</si>
  <si>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</si>
  <si>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</si>
  <si>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</si>
  <si>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</si>
  <si>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</si>
  <si>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</si>
  <si>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</si>
  <si>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</si>
  <si>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</si>
  <si>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</si>
  <si>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</si>
  <si>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</si>
  <si>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</si>
  <si>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</si>
  <si>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</si>
  <si>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</si>
  <si>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</si>
  <si>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</si>
  <si>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</si>
  <si>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</si>
  <si>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</si>
  <si>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</si>
  <si>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</si>
  <si>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</si>
  <si>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</si>
  <si>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</si>
  <si>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</si>
  <si>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</si>
  <si>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</si>
  <si>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</si>
  <si>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</si>
  <si>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</si>
  <si>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</si>
  <si>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</si>
  <si>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</si>
  <si>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</si>
  <si>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</si>
  <si>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</si>
  <si>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</si>
  <si>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</si>
  <si>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</si>
  <si>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</si>
  <si>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</si>
  <si>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</si>
  <si>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</si>
  <si>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</si>
  <si>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</si>
  <si>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</si>
  <si>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</si>
  <si>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</si>
  <si>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</si>
  <si>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</si>
  <si>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</si>
  <si>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</si>
  <si>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</si>
  <si>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</si>
  <si>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</si>
  <si>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</si>
  <si>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</si>
  <si>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</si>
  <si>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</si>
  <si>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</si>
  <si>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</si>
  <si>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</si>
  <si>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</si>
  <si>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</si>
  <si>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</si>
  <si>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</si>
  <si>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</si>
  <si>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</si>
  <si>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</si>
  <si>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</si>
  <si>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</si>
  <si>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</si>
  <si>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</si>
  <si>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</si>
  <si>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</si>
  <si>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</si>
  <si>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</si>
  <si>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</si>
  <si>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</si>
  <si>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</si>
  <si>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</si>
  <si>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</si>
  <si>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</si>
  <si>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</si>
  <si>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</si>
  <si>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</si>
  <si>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</si>
  <si>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</si>
  <si>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</si>
  <si>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</si>
  <si>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</si>
  <si>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</si>
  <si>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</si>
  <si>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</si>
  <si>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</si>
  <si>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</si>
  <si>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</si>
  <si>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</si>
  <si>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</si>
  <si>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</si>
  <si>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</si>
  <si>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</si>
  <si>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</si>
  <si>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</si>
  <si>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</si>
  <si>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</si>
  <si>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</si>
  <si>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</si>
  <si>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</si>
  <si>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</si>
  <si>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</si>
  <si>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</si>
  <si>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</si>
  <si>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</si>
  <si>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</si>
  <si>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</si>
  <si>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</si>
  <si>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</si>
  <si>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</si>
  <si>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</si>
  <si>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</si>
  <si>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</si>
  <si>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</si>
  <si>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</si>
  <si>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</si>
  <si>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</si>
  <si>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</si>
  <si>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</si>
  <si>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</si>
  <si>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</si>
  <si>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</si>
  <si>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</si>
  <si>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</si>
  <si>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</si>
  <si>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</si>
  <si>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</si>
  <si>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</si>
  <si>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</si>
  <si>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</si>
  <si>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</si>
  <si>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</si>
  <si>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</si>
  <si>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</si>
  <si>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</si>
  <si>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</si>
  <si>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</si>
  <si>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</si>
  <si>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</si>
  <si>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</si>
  <si>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</si>
  <si>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</si>
  <si>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</si>
  <si>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</si>
  <si>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</si>
  <si>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</si>
  <si>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</si>
  <si>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</si>
  <si>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</si>
  <si>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</si>
  <si>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</si>
  <si>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</si>
  <si>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</si>
  <si>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</si>
  <si>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</si>
  <si>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</si>
  <si>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</si>
  <si>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</si>
  <si>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</si>
  <si>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</si>
  <si>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</si>
  <si>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</si>
  <si>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</si>
  <si>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</si>
  <si>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</si>
  <si>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</si>
  <si>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</si>
  <si>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</si>
  <si>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</si>
  <si>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</si>
  <si>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</si>
  <si>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</si>
  <si>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</si>
  <si>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</si>
  <si>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</si>
  <si>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</si>
  <si>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</si>
  <si>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</si>
  <si>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</si>
  <si>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</si>
  <si>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</si>
  <si>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</si>
  <si>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</si>
  <si>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</si>
  <si>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</si>
  <si>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</si>
  <si>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</si>
  <si>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</si>
  <si>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</si>
  <si>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</si>
  <si>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</si>
  <si>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</si>
  <si>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</si>
  <si>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</si>
  <si>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</si>
  <si>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</si>
  <si>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</si>
  <si>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</si>
  <si>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</si>
  <si>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</si>
  <si>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</si>
  <si>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</si>
  <si>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</si>
  <si>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</si>
  <si>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</si>
  <si>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</si>
  <si>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</si>
  <si>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</si>
  <si>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</si>
  <si>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</si>
  <si>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</si>
  <si>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</si>
  <si>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</si>
  <si>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</si>
  <si>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</si>
  <si>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</si>
  <si>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</si>
  <si>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</si>
  <si>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</si>
  <si>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</si>
  <si>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</si>
  <si>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</si>
  <si>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</si>
  <si>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</si>
  <si>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</si>
  <si>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</si>
  <si>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</si>
  <si>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</si>
  <si>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</si>
  <si>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</si>
  <si>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</si>
  <si>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</si>
  <si>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</si>
  <si>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</si>
  <si>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</si>
  <si>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</si>
  <si>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</si>
  <si>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</si>
  <si>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</si>
  <si>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</si>
  <si>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</si>
  <si>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</si>
  <si>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</si>
  <si>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</si>
  <si>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</si>
  <si>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</si>
  <si>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</si>
  <si>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</si>
  <si>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</si>
  <si>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</si>
  <si>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</si>
  <si>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</si>
  <si>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</si>
  <si>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</si>
  <si>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</si>
  <si>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</si>
  <si>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</si>
  <si>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</si>
  <si>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</si>
  <si>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</si>
  <si>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</si>
  <si>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</si>
  <si>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</si>
  <si>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</si>
  <si>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</si>
  <si>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</si>
  <si>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</si>
  <si>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</si>
  <si>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</si>
  <si>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</si>
  <si>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</si>
  <si>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</si>
  <si>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</si>
  <si>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</si>
  <si>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</si>
  <si>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</si>
  <si>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</si>
  <si>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</si>
  <si>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</si>
  <si>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</si>
  <si>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</si>
  <si>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</si>
  <si>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</si>
  <si>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</si>
  <si>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</si>
  <si>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</si>
  <si>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</si>
  <si>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</si>
  <si>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</si>
  <si>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</si>
  <si>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</si>
  <si>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</si>
  <si>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</si>
  <si>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</si>
  <si>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</si>
  <si>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</si>
  <si>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</si>
  <si>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</si>
  <si>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</si>
  <si>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</si>
  <si>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</si>
  <si>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</si>
  <si>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</si>
  <si>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</si>
  <si>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</si>
  <si>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</si>
  <si>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</si>
  <si>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</si>
  <si>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</si>
  <si>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</si>
  <si>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</si>
  <si>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</si>
  <si>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</si>
  <si>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</si>
  <si>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</si>
  <si>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</si>
  <si>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</si>
  <si>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</si>
  <si>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</si>
  <si>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</si>
  <si>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</si>
  <si>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</si>
  <si>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</si>
  <si>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</si>
  <si>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</si>
  <si>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</si>
  <si>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</si>
  <si>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</si>
  <si>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</si>
  <si>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</si>
  <si>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</si>
  <si>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</si>
  <si>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</si>
  <si>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</si>
  <si>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</si>
  <si>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</si>
  <si>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</si>
  <si>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</si>
  <si>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</si>
  <si>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</si>
  <si>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</si>
  <si>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</si>
  <si>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</si>
  <si>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</si>
  <si>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</si>
  <si>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</si>
  <si>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</si>
  <si>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</si>
  <si>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</si>
  <si>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</si>
  <si>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</si>
  <si>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</si>
  <si>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12/02</t>
  </si>
  <si>
    <t>10/22</t>
  </si>
  <si>
    <t>SAU #74  BARRINGTON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</si>
</sst>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29">
    <xf numFmtId="0" fontId="0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2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578" sqref="F578:G578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33</v>
      </c>
      <c r="C2" s="21">
        <v>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1870615.44</v>
      </c>
      <c r="G9" s="18"/>
      <c r="H9" s="18">
        <v>544787.54</v>
      </c>
      <c r="I9" s="18"/>
      <c r="J9" s="67">
        <f>SUM(I439)</f>
        <v>1092727.22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6964.31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18956.810000000001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16899.5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302699.76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2180279.5099999998</v>
      </c>
      <c r="G19" s="41">
        <f>SUM(G9:G18)</f>
        <v>35856.31</v>
      </c>
      <c r="H19" s="41">
        <f>SUM(H9:H18)</f>
        <v>544787.54</v>
      </c>
      <c r="I19" s="41">
        <f>SUM(I9:I18)</f>
        <v>0</v>
      </c>
      <c r="J19" s="41">
        <f>SUM(J9:J18)</f>
        <v>1092727.22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151349.88</v>
      </c>
      <c r="G22" s="18">
        <v>25743.84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138180.32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619363.94999999995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8457.6200000000008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908894.14999999991</v>
      </c>
      <c r="G32" s="41">
        <f>SUM(G22:G31)</f>
        <v>34201.46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1654.85</v>
      </c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 t="s">
        <v>287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349972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544787.54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1092727.22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621413.36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1271385.3599999999</v>
      </c>
      <c r="G51" s="41">
        <f>SUM(G35:G50)</f>
        <v>1654.85</v>
      </c>
      <c r="H51" s="41">
        <f>SUM(H35:H50)</f>
        <v>544787.54</v>
      </c>
      <c r="I51" s="41">
        <f>SUM(I35:I50)</f>
        <v>0</v>
      </c>
      <c r="J51" s="41">
        <f>SUM(J35:J50)</f>
        <v>1092727.22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2180279.5099999998</v>
      </c>
      <c r="G52" s="41">
        <f>G51+G32</f>
        <v>35856.31</v>
      </c>
      <c r="H52" s="41">
        <f>H51+H32</f>
        <v>544787.54</v>
      </c>
      <c r="I52" s="41">
        <f>I51+I32</f>
        <v>0</v>
      </c>
      <c r="J52" s="41">
        <f>J51+J32</f>
        <v>1092727.22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13994473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13994473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60002.84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64005.83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119438.06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243446.72999999998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572.46</v>
      </c>
      <c r="G96" s="18"/>
      <c r="H96" s="18"/>
      <c r="I96" s="18"/>
      <c r="J96" s="18">
        <v>1639.74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187971.25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572.46</v>
      </c>
      <c r="G111" s="41">
        <f>SUM(G96:G110)</f>
        <v>187971.25</v>
      </c>
      <c r="H111" s="41">
        <f>SUM(H96:H110)</f>
        <v>0</v>
      </c>
      <c r="I111" s="41">
        <f>SUM(I96:I110)</f>
        <v>0</v>
      </c>
      <c r="J111" s="41">
        <f>SUM(J96:J110)</f>
        <v>1639.74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14238492.190000001</v>
      </c>
      <c r="G112" s="41">
        <f>G60+G111</f>
        <v>187971.25</v>
      </c>
      <c r="H112" s="41">
        <f>H60+H79+H94+H111</f>
        <v>0</v>
      </c>
      <c r="I112" s="41">
        <f>I60+I111</f>
        <v>0</v>
      </c>
      <c r="J112" s="41">
        <f>J60+J111</f>
        <v>1639.74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4281921.43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2022192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6304113.4299999997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231529.28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151025.39000000001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4197.18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382554.67000000004</v>
      </c>
      <c r="G136" s="41">
        <f>SUM(G123:G135)</f>
        <v>4197.18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6686668.0999999996</v>
      </c>
      <c r="G140" s="41">
        <f>G121+SUM(G136:G137)</f>
        <v>4197.18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24457.93+66751.27</f>
        <v>91209.200000000012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55899.83+4760+63023.43+6561.93+240+181793.2</f>
        <v>312278.39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79310.01+10918.04+3942.66</f>
        <v>94170.709999999992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260330.02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260330.02</v>
      </c>
      <c r="G162" s="41">
        <f>SUM(G150:G161)</f>
        <v>94170.709999999992</v>
      </c>
      <c r="H162" s="41">
        <f>SUM(H150:H161)</f>
        <v>403487.59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260330.02</v>
      </c>
      <c r="G169" s="41">
        <f>G147+G162+SUM(G163:G168)</f>
        <v>94170.709999999992</v>
      </c>
      <c r="H169" s="41">
        <f>H147+H162+SUM(H163:H168)</f>
        <v>403487.59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f>1490319-107202.47</f>
        <v>1383116.53</v>
      </c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1383116.53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22568606.84</v>
      </c>
      <c r="G193" s="47">
        <f>G112+G140+G169+G192</f>
        <v>286339.14</v>
      </c>
      <c r="H193" s="47">
        <f>H112+H140+H169+H192</f>
        <v>403487.59</v>
      </c>
      <c r="I193" s="47">
        <f>I112+I140+I169+I192</f>
        <v>0</v>
      </c>
      <c r="J193" s="47">
        <f>J112+J140+J192</f>
        <v>151639.74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1261505.96+224942.68+1564.1+8292+112102+58479.83+15714.5+66968.08-15148.3</f>
        <v>1734420.85</v>
      </c>
      <c r="G197" s="18">
        <f>423623.81+87476.86+12585.46+1809.9+903+360+2978.23+811.56+98512.29+26034.56+197797.44+47761.35+29763.51</f>
        <v>930417.97000000009</v>
      </c>
      <c r="H197" s="18">
        <f>10955.49+2246.24+79</f>
        <v>13280.73</v>
      </c>
      <c r="I197" s="18">
        <f>12771.73+3991.74+799.56+18.52+12236.14+2827.92+499.35+15193.59+450.42+208.36+1315.84+631.57+1947.8+217.62+800+5250.48+1689.99+42809.29-54.01</f>
        <v>103605.91</v>
      </c>
      <c r="J197" s="18">
        <f>628.11</f>
        <v>628.11</v>
      </c>
      <c r="K197" s="18"/>
      <c r="L197" s="19">
        <f>SUM(F197:K197)</f>
        <v>2782353.5700000003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177402.95+39055.72+344450.2+97531.31+156+5157.9+16162.5+2664.75+19727.01+11830.75-767</f>
        <v>713372.09</v>
      </c>
      <c r="G198" s="18">
        <f>176842.62+24520.51+2692.44+678+204+1262.74+314.19+39441.36+11120.69+66181.04+15127.9+1639.06</f>
        <v>340024.55</v>
      </c>
      <c r="H198" s="18">
        <f>45658.78+40701.22</f>
        <v>86360</v>
      </c>
      <c r="I198" s="18">
        <f>4174.48+1641.17+2876.27+434.2</f>
        <v>9126.1200000000008</v>
      </c>
      <c r="J198" s="18">
        <f>1741.46+534.58+2500+1200+1250</f>
        <v>7226.04</v>
      </c>
      <c r="K198" s="18"/>
      <c r="L198" s="19">
        <f>SUM(F198:K198)</f>
        <v>1156108.8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90025.03+56798.04+57150.28+23666.48+15106.24+65113.25+90752.73+48232.91</f>
        <v>446844.95999999996</v>
      </c>
      <c r="G202" s="18">
        <f>8000+815.72+72+230.52+7406.06+14106.85+4000+1046+72+214.92+4639.68+8900.32+4000+36+142.8+4678.06+8955.54+11517.28+36+60+1312.46+2643.5+2878.06+28409.07+50909.95+19699.43</f>
        <v>184782.21999999997</v>
      </c>
      <c r="H202" s="18">
        <f>412+18500</f>
        <v>18912</v>
      </c>
      <c r="I202" s="18">
        <f>499.93+312.76+1252.45+879.68+1519.23+999.01+919.44</f>
        <v>6382.5</v>
      </c>
      <c r="J202" s="18">
        <f>347.25+302.25</f>
        <v>649.5</v>
      </c>
      <c r="K202" s="18">
        <v>4488.75</v>
      </c>
      <c r="L202" s="19">
        <f t="shared" ref="L202:L208" si="0">SUM(F202:K202)</f>
        <v>662059.92999999993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61733.88+47762.44+37411.79+4179-3732.95</f>
        <v>147354.16</v>
      </c>
      <c r="G203" s="18">
        <f>17085.48+460.83+36+154.32+4556.5+9673.82+25125.06+725.28+36+111.1+3959.94+7484.44+14529.74</f>
        <v>83938.510000000009</v>
      </c>
      <c r="H203" s="18">
        <f>56906.21+11507.3-13.05</f>
        <v>68400.459999999992</v>
      </c>
      <c r="I203" s="18">
        <f>754.87+6907.46+3167.01+2979.85+925+1657.75+1507.89-125.59</f>
        <v>17774.240000000002</v>
      </c>
      <c r="J203" s="18">
        <f>996.81+14474.81+29873.81+7480.15+1478.62+500+5483.83+1982.31-136.35</f>
        <v>62133.990000000005</v>
      </c>
      <c r="K203" s="18">
        <f>13793.9</f>
        <v>13793.9</v>
      </c>
      <c r="L203" s="19">
        <f t="shared" si="0"/>
        <v>393395.26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880+118464.28-6015.79</f>
        <v>113328.49</v>
      </c>
      <c r="G204" s="18">
        <f>109.89+46286.31</f>
        <v>46396.2</v>
      </c>
      <c r="H204" s="18">
        <f>32301.58+6617.95</f>
        <v>38919.53</v>
      </c>
      <c r="I204" s="18">
        <f>1443.73</f>
        <v>1443.73</v>
      </c>
      <c r="J204" s="18">
        <f>484.29</f>
        <v>484.29</v>
      </c>
      <c r="K204" s="18">
        <f>2904.7+1910.62</f>
        <v>4815.32</v>
      </c>
      <c r="L204" s="19">
        <f t="shared" si="0"/>
        <v>205387.56000000003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90202.58+76806.08+73348.08+62953.54+27002.82-12680.31</f>
        <v>317632.78999999998</v>
      </c>
      <c r="G205" s="18">
        <f>58183.84+31841.52+2249.9+1499.88+144+72+566.04+261.44+16066.6+6433.73+32659.94+15051.66</f>
        <v>165030.54999999999</v>
      </c>
      <c r="H205" s="18">
        <f>1130.64-388+56.2+359+1862.14+1772.08+15.66+166.18+745.61</f>
        <v>5719.51</v>
      </c>
      <c r="I205" s="18">
        <f>1005.42+230.3</f>
        <v>1235.72</v>
      </c>
      <c r="J205" s="18">
        <f>8528.31+1550.8</f>
        <v>10079.109999999999</v>
      </c>
      <c r="K205" s="18">
        <f>530+75</f>
        <v>605</v>
      </c>
      <c r="L205" s="19">
        <f t="shared" si="0"/>
        <v>500302.67999999993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37513.32-1731.38</f>
        <v>35781.94</v>
      </c>
      <c r="G206" s="18">
        <f>23242.52</f>
        <v>23242.52</v>
      </c>
      <c r="H206" s="18">
        <f>4534.72</f>
        <v>4534.72</v>
      </c>
      <c r="I206" s="18">
        <f>583.95</f>
        <v>583.95000000000005</v>
      </c>
      <c r="J206" s="18"/>
      <c r="K206" s="18"/>
      <c r="L206" s="19">
        <f t="shared" si="0"/>
        <v>64143.130000000005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108281.25+11249+9093.47+75011.29-5064.83</f>
        <v>198570.18000000002</v>
      </c>
      <c r="G207" s="18">
        <f>31561.24+1402.22+135+258.57+9806.56+12692.07+26086.55</f>
        <v>81942.209999999992</v>
      </c>
      <c r="H207" s="18">
        <f>1382.39+1125+571+1077+1238.5+13036+8037+1400+1000+6026+2261+4128+1560+62485.81+10211.28+408.32+387.48+30824.03</f>
        <v>147158.81</v>
      </c>
      <c r="I207" s="18">
        <f>14952.81+6958.18+37651.13+19840.79+8926+32944.28+13172.19+1999.12</f>
        <v>136444.5</v>
      </c>
      <c r="J207" s="18">
        <f>24006.85</f>
        <v>24006.85</v>
      </c>
      <c r="K207" s="18"/>
      <c r="L207" s="19">
        <f t="shared" si="0"/>
        <v>588122.54999999993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222589+87412.73+84513.85+4000.01+277.6</f>
        <v>398793.18999999994</v>
      </c>
      <c r="I208" s="18"/>
      <c r="J208" s="18"/>
      <c r="K208" s="18"/>
      <c r="L208" s="19">
        <f t="shared" si="0"/>
        <v>398793.18999999994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3707305.4600000004</v>
      </c>
      <c r="G211" s="41">
        <f t="shared" si="1"/>
        <v>1855774.73</v>
      </c>
      <c r="H211" s="41">
        <f t="shared" si="1"/>
        <v>782078.95</v>
      </c>
      <c r="I211" s="41">
        <f t="shared" si="1"/>
        <v>276596.67000000004</v>
      </c>
      <c r="J211" s="41">
        <f t="shared" si="1"/>
        <v>105207.88999999998</v>
      </c>
      <c r="K211" s="41">
        <f t="shared" si="1"/>
        <v>23702.97</v>
      </c>
      <c r="L211" s="41">
        <f t="shared" si="1"/>
        <v>6750666.6699999981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1342677.65+36348.5+66968.08-15148.3</f>
        <v>1430845.93</v>
      </c>
      <c r="G215" s="18">
        <f>357539.34+10070.81+975+3169.67+104786.95+210325.67+29763.51</f>
        <v>716630.95000000007</v>
      </c>
      <c r="H215" s="18">
        <f>9046.27+486.65+203</f>
        <v>9735.92</v>
      </c>
      <c r="I215" s="18">
        <f>13903.89+2000.01+5219.97+999.16+993.74+5534.32+2624.85+1500.91+1109.68+3163.09+859.96+934.36+549.46+639.99+4846.17+42809.29</f>
        <v>87688.849999999991</v>
      </c>
      <c r="J215" s="18">
        <f>500+4101.99</f>
        <v>4601.99</v>
      </c>
      <c r="K215" s="18"/>
      <c r="L215" s="19">
        <f>SUM(F215:K215)</f>
        <v>2249503.64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283989.06+318626.72+1358+11767.5+19727.01+11830.75-767</f>
        <v>646532.04</v>
      </c>
      <c r="G216" s="18">
        <f>234471.08+3208.29+759+1569.96+45308.39+80092.61+1639.06</f>
        <v>367048.38999999996</v>
      </c>
      <c r="H216" s="18">
        <f>267881.92+40701.22</f>
        <v>308583.14</v>
      </c>
      <c r="I216" s="18">
        <f>4103.78+2929.01</f>
        <v>7032.79</v>
      </c>
      <c r="J216" s="18">
        <f>2219.6+2500+1250</f>
        <v>5969.6</v>
      </c>
      <c r="K216" s="18"/>
      <c r="L216" s="19">
        <f>SUM(F216:K216)</f>
        <v>1335165.96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14700+28623.46</f>
        <v>43323.46</v>
      </c>
      <c r="G218" s="18">
        <f>1124.48+1939.47+2187.9+3209.06</f>
        <v>8460.91</v>
      </c>
      <c r="H218" s="18">
        <v>8037</v>
      </c>
      <c r="I218" s="18">
        <f>4998.67</f>
        <v>4998.67</v>
      </c>
      <c r="J218" s="18"/>
      <c r="K218" s="18">
        <f>874</f>
        <v>874</v>
      </c>
      <c r="L218" s="19">
        <f>SUM(F218:K218)</f>
        <v>65694.039999999994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90300.02+41050.08+24091.19+15106.24+65113.25+90752.73+48232.91</f>
        <v>374646.42000000004</v>
      </c>
      <c r="G220" s="18">
        <f>34599.64+1294.86+72+222.32+6527.59+14149.94+23063.28+36+102.6+2880.24+6432.48+36+59.54+1842.97+2686.07+2878.06+28409.08+50909.95+19699.43</f>
        <v>195902.05</v>
      </c>
      <c r="H220" s="18">
        <f>18500</f>
        <v>18500</v>
      </c>
      <c r="I220" s="18">
        <f>508.86+1160.54+1519.23+919.44+999.01</f>
        <v>5107.08</v>
      </c>
      <c r="J220" s="18">
        <f>350</f>
        <v>350</v>
      </c>
      <c r="K220" s="18">
        <f>4488.75</f>
        <v>4488.75</v>
      </c>
      <c r="L220" s="19">
        <f t="shared" ref="L220:L226" si="2">SUM(F220:K220)</f>
        <v>598994.29999999993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51799.92+43749.94+37411.79+4179-3732.95</f>
        <v>133407.69999999998</v>
      </c>
      <c r="G221" s="18">
        <f>17085.6+489.41+36+129.47+3774.96+8117.04+1938.38+36+109.32+3087.56+6855.68+14529.74</f>
        <v>56189.159999999996</v>
      </c>
      <c r="H221" s="18">
        <f>11507.3+56906.21</f>
        <v>68413.509999999995</v>
      </c>
      <c r="I221" s="18">
        <f>541.41+5426.85+2370.51+2994.59+4031.02-125.59</f>
        <v>15238.79</v>
      </c>
      <c r="J221" s="18">
        <f>849.16+55000+1622.12+5499.71+14474.81</f>
        <v>77445.8</v>
      </c>
      <c r="K221" s="18">
        <f>13793.9</f>
        <v>13793.9</v>
      </c>
      <c r="L221" s="19">
        <f t="shared" si="2"/>
        <v>364488.86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880+118464.28-6015.79</f>
        <v>113328.49</v>
      </c>
      <c r="G222" s="18">
        <f>109.89+46286.31</f>
        <v>46396.2</v>
      </c>
      <c r="H222" s="18">
        <f>32301.58+6617.95</f>
        <v>38919.53</v>
      </c>
      <c r="I222" s="18">
        <f>1443.73</f>
        <v>1443.73</v>
      </c>
      <c r="J222" s="18">
        <f>484.29</f>
        <v>484.29</v>
      </c>
      <c r="K222" s="18">
        <f>2904.7+1910.62</f>
        <v>4815.32</v>
      </c>
      <c r="L222" s="19">
        <f t="shared" si="2"/>
        <v>205387.56000000003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86353.28+79320.96+58568.89-12680.31</f>
        <v>211562.82</v>
      </c>
      <c r="G223" s="18">
        <f>57976.14+2999.56+144+558.72+16611.97+32503.19</f>
        <v>110793.58</v>
      </c>
      <c r="H223" s="18">
        <f>475.65+50.6+300+4018.37+1676.33</f>
        <v>6520.95</v>
      </c>
      <c r="I223" s="18">
        <f>563.14</f>
        <v>563.14</v>
      </c>
      <c r="J223" s="18">
        <f>7754</f>
        <v>7754</v>
      </c>
      <c r="K223" s="18">
        <f>630+722</f>
        <v>1352</v>
      </c>
      <c r="L223" s="19">
        <f t="shared" si="2"/>
        <v>338546.49000000005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37513.32-1731.38</f>
        <v>35781.94</v>
      </c>
      <c r="G224" s="18">
        <f>23242.52</f>
        <v>23242.52</v>
      </c>
      <c r="H224" s="18">
        <f>4534.72</f>
        <v>4534.72</v>
      </c>
      <c r="I224" s="18">
        <f>583.95</f>
        <v>583.95000000000005</v>
      </c>
      <c r="J224" s="18"/>
      <c r="K224" s="18"/>
      <c r="L224" s="19">
        <f t="shared" si="2"/>
        <v>64143.130000000005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108284.14+75011.29-5064.83</f>
        <v>178230.6</v>
      </c>
      <c r="G225" s="18">
        <f>31561.26+1402.28+135+258.57+8118.8+11457.29+26086.55</f>
        <v>79019.75</v>
      </c>
      <c r="H225" s="18">
        <f>133.3+1675+1081.5+22888.05+1695+4128+35736.61+318.32+30824.03</f>
        <v>98479.81</v>
      </c>
      <c r="I225" s="18">
        <f>25277.65+125002.44+37899.22+18772.27+1999.12</f>
        <v>208950.69999999998</v>
      </c>
      <c r="J225" s="18">
        <v>24006.85</v>
      </c>
      <c r="K225" s="18"/>
      <c r="L225" s="19">
        <f t="shared" si="2"/>
        <v>588687.71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222589+87025.39+6533.52+6224.38</f>
        <v>322372.29000000004</v>
      </c>
      <c r="I226" s="18"/>
      <c r="J226" s="18"/>
      <c r="K226" s="18"/>
      <c r="L226" s="19">
        <f t="shared" si="2"/>
        <v>322372.29000000004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3167659.4000000004</v>
      </c>
      <c r="G229" s="41">
        <f>SUM(G215:G228)</f>
        <v>1603683.51</v>
      </c>
      <c r="H229" s="41">
        <f>SUM(H215:H228)</f>
        <v>884096.87</v>
      </c>
      <c r="I229" s="41">
        <f>SUM(I215:I228)</f>
        <v>331607.69999999995</v>
      </c>
      <c r="J229" s="41">
        <f>SUM(J215:J228)</f>
        <v>120612.53</v>
      </c>
      <c r="K229" s="41">
        <f t="shared" si="3"/>
        <v>25323.97</v>
      </c>
      <c r="L229" s="41">
        <f t="shared" si="3"/>
        <v>6132983.9800000004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2626771.8+1529081.62+1250914.07</f>
        <v>5406767.4900000002</v>
      </c>
      <c r="I233" s="18"/>
      <c r="J233" s="18"/>
      <c r="K233" s="18"/>
      <c r="L233" s="19">
        <f>SUM(F233:K233)</f>
        <v>5406767.4900000002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6105</f>
        <v>6105</v>
      </c>
      <c r="G234" s="18">
        <f>467</f>
        <v>467</v>
      </c>
      <c r="H234" s="18">
        <f>300270.35+91294.36+227579.72</f>
        <v>619144.42999999993</v>
      </c>
      <c r="I234" s="18"/>
      <c r="J234" s="18">
        <f>873.39+487.43</f>
        <v>1360.82</v>
      </c>
      <c r="K234" s="18"/>
      <c r="L234" s="19">
        <f>SUM(F234:K234)</f>
        <v>627077.24999999988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880+118464.28-6015.79</f>
        <v>113328.49</v>
      </c>
      <c r="G240" s="18">
        <f>109.89+46286.31</f>
        <v>46396.2</v>
      </c>
      <c r="H240" s="18">
        <f>32301.58+6617.95</f>
        <v>38919.53</v>
      </c>
      <c r="I240" s="18">
        <f>1443.73</f>
        <v>1443.73</v>
      </c>
      <c r="J240" s="18">
        <f>484.29</f>
        <v>484.29</v>
      </c>
      <c r="K240" s="18">
        <f>2904.7+1910.62</f>
        <v>4815.32</v>
      </c>
      <c r="L240" s="19">
        <f t="shared" si="4"/>
        <v>205387.56000000003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37513.32-1731.38</f>
        <v>35781.94</v>
      </c>
      <c r="G242" s="18">
        <f>23242.52</f>
        <v>23242.52</v>
      </c>
      <c r="H242" s="18">
        <f>4534.72</f>
        <v>4534.72</v>
      </c>
      <c r="I242" s="18">
        <f>583.95</f>
        <v>583.95000000000005</v>
      </c>
      <c r="J242" s="18"/>
      <c r="K242" s="18"/>
      <c r="L242" s="19">
        <f t="shared" si="4"/>
        <v>64143.130000000005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178071.2+94472.85</f>
        <v>272544.05000000005</v>
      </c>
      <c r="I244" s="18"/>
      <c r="J244" s="18"/>
      <c r="K244" s="18"/>
      <c r="L244" s="19">
        <f t="shared" si="4"/>
        <v>272544.05000000005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155215.43</v>
      </c>
      <c r="G247" s="41">
        <f t="shared" si="5"/>
        <v>70105.72</v>
      </c>
      <c r="H247" s="41">
        <f t="shared" si="5"/>
        <v>6341910.2199999997</v>
      </c>
      <c r="I247" s="41">
        <f t="shared" si="5"/>
        <v>2027.68</v>
      </c>
      <c r="J247" s="41">
        <f t="shared" si="5"/>
        <v>1845.11</v>
      </c>
      <c r="K247" s="41">
        <f t="shared" si="5"/>
        <v>4815.32</v>
      </c>
      <c r="L247" s="41">
        <f t="shared" si="5"/>
        <v>6575919.4799999995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1539385.85</v>
      </c>
      <c r="I255" s="18"/>
      <c r="J255" s="18"/>
      <c r="K255" s="18"/>
      <c r="L255" s="19">
        <f t="shared" si="6"/>
        <v>1539385.85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1539385.85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1539385.85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7030180.290000001</v>
      </c>
      <c r="G257" s="41">
        <f t="shared" si="8"/>
        <v>3529563.9600000004</v>
      </c>
      <c r="H257" s="41">
        <f t="shared" si="8"/>
        <v>9547471.8899999987</v>
      </c>
      <c r="I257" s="41">
        <f t="shared" si="8"/>
        <v>610232.05000000005</v>
      </c>
      <c r="J257" s="41">
        <f t="shared" si="8"/>
        <v>227665.52999999997</v>
      </c>
      <c r="K257" s="41">
        <f t="shared" si="8"/>
        <v>53842.26</v>
      </c>
      <c r="L257" s="41">
        <f t="shared" si="8"/>
        <v>20998955.98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710000</v>
      </c>
      <c r="L260" s="19">
        <f>SUM(F260:K260)</f>
        <v>710000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246015</v>
      </c>
      <c r="L261" s="19">
        <f>SUM(F261:K261)</f>
        <v>246015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 t="s">
        <v>287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150000</v>
      </c>
      <c r="L266" s="19">
        <f t="shared" si="9"/>
        <v>150000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1106015</v>
      </c>
      <c r="L270" s="41">
        <f t="shared" si="9"/>
        <v>1106015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7030180.290000001</v>
      </c>
      <c r="G271" s="42">
        <f t="shared" si="11"/>
        <v>3529563.9600000004</v>
      </c>
      <c r="H271" s="42">
        <f t="shared" si="11"/>
        <v>9547471.8899999987</v>
      </c>
      <c r="I271" s="42">
        <f t="shared" si="11"/>
        <v>610232.05000000005</v>
      </c>
      <c r="J271" s="42">
        <f t="shared" si="11"/>
        <v>227665.52999999997</v>
      </c>
      <c r="K271" s="42">
        <f t="shared" si="11"/>
        <v>1159857.26</v>
      </c>
      <c r="L271" s="42">
        <f t="shared" si="11"/>
        <v>22104970.98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175+58069.2+7200</f>
        <v>65444.2</v>
      </c>
      <c r="G276" s="18">
        <f>13.39+27.42+648.5+3000+90+121.04+4442.29+6486.33</f>
        <v>14828.97</v>
      </c>
      <c r="H276" s="18">
        <f>4760+3000+3561.93+301.7+2500</f>
        <v>14123.630000000001</v>
      </c>
      <c r="I276" s="18">
        <f>1124+7181.44+9515.73+240</f>
        <v>18061.169999999998</v>
      </c>
      <c r="J276" s="18">
        <f>4244.7</f>
        <v>4244.7</v>
      </c>
      <c r="K276" s="18"/>
      <c r="L276" s="19">
        <f>SUM(F276:K276)</f>
        <v>116702.67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92499.94+37399.96</f>
        <v>129899.9</v>
      </c>
      <c r="G277" s="18">
        <f>2135.5+2766+22868.86+1231.97+60+181.31+2575.15+6751.18+5860.64+14487.88</f>
        <v>58918.49</v>
      </c>
      <c r="H277" s="18"/>
      <c r="I277" s="18"/>
      <c r="J277" s="18"/>
      <c r="K277" s="18"/>
      <c r="L277" s="19">
        <f>SUM(F277:K277)</f>
        <v>188818.38999999998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8951.15</v>
      </c>
      <c r="G282" s="18"/>
      <c r="H282" s="18">
        <f>5250+22569.86</f>
        <v>27819.86</v>
      </c>
      <c r="I282" s="18">
        <f>2623.31</f>
        <v>2623.31</v>
      </c>
      <c r="J282" s="18"/>
      <c r="K282" s="18"/>
      <c r="L282" s="19">
        <f t="shared" si="12"/>
        <v>39394.32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204295.24999999997</v>
      </c>
      <c r="G290" s="42">
        <f t="shared" si="13"/>
        <v>73747.459999999992</v>
      </c>
      <c r="H290" s="42">
        <f t="shared" si="13"/>
        <v>41943.490000000005</v>
      </c>
      <c r="I290" s="42">
        <f t="shared" si="13"/>
        <v>20684.48</v>
      </c>
      <c r="J290" s="42">
        <f t="shared" si="13"/>
        <v>4244.7</v>
      </c>
      <c r="K290" s="42">
        <f t="shared" si="13"/>
        <v>0</v>
      </c>
      <c r="L290" s="41">
        <f t="shared" si="13"/>
        <v>344915.38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39849.94</v>
      </c>
      <c r="G296" s="18">
        <f>15257.94+73.27+162.59+2857.4+6244.39</f>
        <v>24595.59</v>
      </c>
      <c r="H296" s="18"/>
      <c r="I296" s="18"/>
      <c r="J296" s="18"/>
      <c r="K296" s="18"/>
      <c r="L296" s="19">
        <f>SUM(F296:K296)</f>
        <v>64445.53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8951.15</v>
      </c>
      <c r="G301" s="18"/>
      <c r="H301" s="18">
        <f>5250+22569.86</f>
        <v>27819.86</v>
      </c>
      <c r="I301" s="18">
        <v>2623.31</v>
      </c>
      <c r="J301" s="18"/>
      <c r="K301" s="18"/>
      <c r="L301" s="19">
        <f t="shared" si="14"/>
        <v>39394.32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48801.090000000004</v>
      </c>
      <c r="G309" s="42">
        <f t="shared" si="15"/>
        <v>24595.59</v>
      </c>
      <c r="H309" s="42">
        <f t="shared" si="15"/>
        <v>27819.86</v>
      </c>
      <c r="I309" s="42">
        <f t="shared" si="15"/>
        <v>2623.31</v>
      </c>
      <c r="J309" s="42">
        <f t="shared" si="15"/>
        <v>0</v>
      </c>
      <c r="K309" s="42">
        <f t="shared" si="15"/>
        <v>0</v>
      </c>
      <c r="L309" s="41">
        <f t="shared" si="15"/>
        <v>103839.85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253096.33999999997</v>
      </c>
      <c r="G338" s="41">
        <f t="shared" si="20"/>
        <v>98343.049999999988</v>
      </c>
      <c r="H338" s="41">
        <f t="shared" si="20"/>
        <v>69763.350000000006</v>
      </c>
      <c r="I338" s="41">
        <f t="shared" si="20"/>
        <v>23307.79</v>
      </c>
      <c r="J338" s="41">
        <f t="shared" si="20"/>
        <v>4244.7</v>
      </c>
      <c r="K338" s="41">
        <f t="shared" si="20"/>
        <v>0</v>
      </c>
      <c r="L338" s="41">
        <f t="shared" si="20"/>
        <v>448755.23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 t="s">
        <v>287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253096.33999999997</v>
      </c>
      <c r="G352" s="41">
        <f>G338</f>
        <v>98343.049999999988</v>
      </c>
      <c r="H352" s="41">
        <f>H338</f>
        <v>69763.350000000006</v>
      </c>
      <c r="I352" s="41">
        <f>I338</f>
        <v>23307.79</v>
      </c>
      <c r="J352" s="41">
        <f>J338</f>
        <v>4244.7</v>
      </c>
      <c r="K352" s="47">
        <f>K338+K351</f>
        <v>0</v>
      </c>
      <c r="L352" s="41">
        <f>L338+L351</f>
        <v>448755.23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144998.67-8449.75</f>
        <v>136548.92000000001</v>
      </c>
      <c r="I358" s="18"/>
      <c r="J358" s="18">
        <f>11290.41/2</f>
        <v>5645.2049999999999</v>
      </c>
      <c r="K358" s="18">
        <f>296.04/2</f>
        <v>148.02000000000001</v>
      </c>
      <c r="L358" s="13">
        <f>SUM(F358:K358)</f>
        <v>142342.14499999999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144998.67-8449.75</f>
        <v>136548.92000000001</v>
      </c>
      <c r="I359" s="18"/>
      <c r="J359" s="18">
        <v>5645.2</v>
      </c>
      <c r="K359" s="18">
        <f>296.04/2</f>
        <v>148.02000000000001</v>
      </c>
      <c r="L359" s="19">
        <f>SUM(F359:K359)</f>
        <v>142342.14000000001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273097.84000000003</v>
      </c>
      <c r="I362" s="47">
        <f t="shared" si="22"/>
        <v>0</v>
      </c>
      <c r="J362" s="47">
        <f t="shared" si="22"/>
        <v>11290.404999999999</v>
      </c>
      <c r="K362" s="47">
        <f t="shared" si="22"/>
        <v>296.04000000000002</v>
      </c>
      <c r="L362" s="47">
        <f t="shared" si="22"/>
        <v>284684.28500000003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150000</v>
      </c>
      <c r="H388" s="18">
        <v>1639.74</v>
      </c>
      <c r="I388" s="18"/>
      <c r="J388" s="24" t="s">
        <v>289</v>
      </c>
      <c r="K388" s="24" t="s">
        <v>289</v>
      </c>
      <c r="L388" s="56">
        <f t="shared" si="25"/>
        <v>151639.74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150000</v>
      </c>
      <c r="H393" s="139">
        <f>SUM(H387:H392)</f>
        <v>1639.74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151639.74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1639.74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151639.74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f>56971.75+163689.8</f>
        <v>220661.55</v>
      </c>
      <c r="I415" s="18"/>
      <c r="J415" s="18"/>
      <c r="K415" s="18"/>
      <c r="L415" s="56">
        <f t="shared" si="27"/>
        <v>220661.55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220661.55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220661.55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220661.55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220661.55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1092727.22</v>
      </c>
      <c r="G439" s="18"/>
      <c r="H439" s="18"/>
      <c r="I439" s="56">
        <f t="shared" ref="I439:I445" si="33">SUM(F439:H439)</f>
        <v>1092727.22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1092727.22</v>
      </c>
      <c r="G446" s="13">
        <f>SUM(G439:G445)</f>
        <v>0</v>
      </c>
      <c r="H446" s="13">
        <f>SUM(H439:H445)</f>
        <v>0</v>
      </c>
      <c r="I446" s="13">
        <f>SUM(I439:I445)</f>
        <v>1092727.22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1092727.22</v>
      </c>
      <c r="G454" s="18"/>
      <c r="H454" s="18"/>
      <c r="I454" s="56">
        <f t="shared" ref="I454:I459" si="34">SUM(F454:H454)</f>
        <v>1092727.22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1092727.22</v>
      </c>
      <c r="G460" s="83">
        <f>SUM(G454:G459)</f>
        <v>0</v>
      </c>
      <c r="H460" s="83">
        <f>SUM(H454:H459)</f>
        <v>0</v>
      </c>
      <c r="I460" s="83">
        <f>SUM(I454:I459)</f>
        <v>1092727.22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1092727.22</v>
      </c>
      <c r="G461" s="42">
        <f>G452+G460</f>
        <v>0</v>
      </c>
      <c r="H461" s="42">
        <f>H452+H460</f>
        <v>0</v>
      </c>
      <c r="I461" s="42">
        <f>I452+I460</f>
        <v>1092727.22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807749.5</v>
      </c>
      <c r="G465" s="18">
        <v>0</v>
      </c>
      <c r="H465" s="18">
        <v>590055.18000000005</v>
      </c>
      <c r="I465" s="18">
        <v>0</v>
      </c>
      <c r="J465" s="18">
        <v>1161749.03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22568606.84</v>
      </c>
      <c r="G468" s="18">
        <v>286339.14</v>
      </c>
      <c r="H468" s="18">
        <v>403487.59</v>
      </c>
      <c r="I468" s="18"/>
      <c r="J468" s="18">
        <f>150000+1639.74</f>
        <v>151639.74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22568606.84</v>
      </c>
      <c r="G470" s="53">
        <f>SUM(G468:G469)</f>
        <v>286339.14</v>
      </c>
      <c r="H470" s="53">
        <f>SUM(H468:H469)</f>
        <v>403487.59</v>
      </c>
      <c r="I470" s="53">
        <f>SUM(I468:I469)</f>
        <v>0</v>
      </c>
      <c r="J470" s="53">
        <f>SUM(J468:J469)</f>
        <v>151639.74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22104970.98</v>
      </c>
      <c r="G472" s="18">
        <v>284684.28999999998</v>
      </c>
      <c r="H472" s="18">
        <v>448755.23</v>
      </c>
      <c r="I472" s="18"/>
      <c r="J472" s="18">
        <f>56971.75+163689.8</f>
        <v>220661.55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22104970.98</v>
      </c>
      <c r="G474" s="53">
        <f>SUM(G472:G473)</f>
        <v>284684.28999999998</v>
      </c>
      <c r="H474" s="53">
        <f>SUM(H472:H473)</f>
        <v>448755.23</v>
      </c>
      <c r="I474" s="53">
        <f>SUM(I472:I473)</f>
        <v>0</v>
      </c>
      <c r="J474" s="53">
        <f>SUM(J472:J473)</f>
        <v>220661.55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1271385.3599999994</v>
      </c>
      <c r="G476" s="53">
        <f>(G465+G470)- G474</f>
        <v>1654.8500000000349</v>
      </c>
      <c r="H476" s="53">
        <f>(H465+H470)- H474</f>
        <v>544787.54</v>
      </c>
      <c r="I476" s="53">
        <f>(I465+I470)- I474</f>
        <v>0</v>
      </c>
      <c r="J476" s="53">
        <f>(J465+J470)- J474</f>
        <v>1092727.22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14144129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4970000</v>
      </c>
      <c r="G495" s="18"/>
      <c r="H495" s="18"/>
      <c r="I495" s="18"/>
      <c r="J495" s="18"/>
      <c r="K495" s="53">
        <f>SUM(F495:J495)</f>
        <v>4970000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710000</v>
      </c>
      <c r="G497" s="18"/>
      <c r="H497" s="18"/>
      <c r="I497" s="18"/>
      <c r="J497" s="18"/>
      <c r="K497" s="53">
        <f t="shared" si="35"/>
        <v>710000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4260000</v>
      </c>
      <c r="G498" s="204"/>
      <c r="H498" s="204"/>
      <c r="I498" s="204"/>
      <c r="J498" s="204"/>
      <c r="K498" s="205">
        <f t="shared" si="35"/>
        <v>4260000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823600</v>
      </c>
      <c r="G499" s="18"/>
      <c r="H499" s="18"/>
      <c r="I499" s="18"/>
      <c r="J499" s="18"/>
      <c r="K499" s="53">
        <f t="shared" si="35"/>
        <v>823600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5083600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5083600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710000</v>
      </c>
      <c r="G501" s="204"/>
      <c r="H501" s="204"/>
      <c r="I501" s="204"/>
      <c r="J501" s="204"/>
      <c r="K501" s="205">
        <f t="shared" si="35"/>
        <v>710000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215130</v>
      </c>
      <c r="G502" s="18"/>
      <c r="H502" s="18"/>
      <c r="I502" s="18"/>
      <c r="J502" s="18"/>
      <c r="K502" s="53">
        <f t="shared" si="35"/>
        <v>215130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925130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925130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714139.08000000007</v>
      </c>
      <c r="G521" s="18">
        <v>340024.54</v>
      </c>
      <c r="H521" s="18">
        <v>86360</v>
      </c>
      <c r="I521" s="18">
        <v>9126.1200000000008</v>
      </c>
      <c r="J521" s="18">
        <v>7226.04</v>
      </c>
      <c r="K521" s="18"/>
      <c r="L521" s="88">
        <f>SUM(F521:K521)</f>
        <v>1156875.7800000003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647299.04999999993</v>
      </c>
      <c r="G522" s="18">
        <v>367048.38999999996</v>
      </c>
      <c r="H522" s="18">
        <v>308583.14</v>
      </c>
      <c r="I522" s="18">
        <v>7032.79</v>
      </c>
      <c r="J522" s="18">
        <v>5969.6</v>
      </c>
      <c r="K522" s="18"/>
      <c r="L522" s="88">
        <f>SUM(F522:K522)</f>
        <v>1335932.9700000002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6105</v>
      </c>
      <c r="G523" s="18">
        <v>467</v>
      </c>
      <c r="H523" s="18">
        <v>619144.42999999993</v>
      </c>
      <c r="I523" s="18"/>
      <c r="J523" s="18">
        <v>1360.82</v>
      </c>
      <c r="K523" s="18"/>
      <c r="L523" s="88">
        <f>SUM(F523:K523)</f>
        <v>627077.24999999988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1367543.13</v>
      </c>
      <c r="G524" s="108">
        <f t="shared" ref="G524:L524" si="36">SUM(G521:G523)</f>
        <v>707539.92999999993</v>
      </c>
      <c r="H524" s="108">
        <f t="shared" si="36"/>
        <v>1014087.57</v>
      </c>
      <c r="I524" s="108">
        <f t="shared" si="36"/>
        <v>16158.91</v>
      </c>
      <c r="J524" s="108">
        <f t="shared" si="36"/>
        <v>14556.46</v>
      </c>
      <c r="K524" s="108">
        <f t="shared" si="36"/>
        <v>0</v>
      </c>
      <c r="L524" s="89">
        <f t="shared" si="36"/>
        <v>3119886.0000000005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90025.03+15106.24+56798.04+65113.25+90752.73+48232.91+57150.28</f>
        <v>423178.48</v>
      </c>
      <c r="G526" s="18">
        <f>8000+815.72+72+230.52+7406.06+14106.85+2878.06+4000+1046+72+214.92+4639.68+8900.32+23634.5+50909.95+19699.43+4000+36+142.8+4678.06+8955.54</f>
        <v>164438.41</v>
      </c>
      <c r="H526" s="18">
        <f>18500+412</f>
        <v>18912</v>
      </c>
      <c r="I526" s="18">
        <f>499.93+312.76+1252.45+879.68+1519.23+919.44+999.01</f>
        <v>6382.5</v>
      </c>
      <c r="J526" s="18">
        <f>347.25+302.25</f>
        <v>649.5</v>
      </c>
      <c r="K526" s="18">
        <f>4488.75</f>
        <v>4488.75</v>
      </c>
      <c r="L526" s="88">
        <f>SUM(F526:K526)</f>
        <v>618049.64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90300.02+15106.24+41050.08+65113.25+90752.73+48232.91</f>
        <v>350555.23</v>
      </c>
      <c r="G527" s="18">
        <f>34599.64+1294.86+72+222.32+6527.59+14149.94+2878.06+23063.28+36+102.6+2880.24+6432.48+23634.5+50909.95+19699.43</f>
        <v>186502.89</v>
      </c>
      <c r="H527" s="18">
        <f>18500</f>
        <v>18500</v>
      </c>
      <c r="I527" s="18">
        <f>508.86+1160.54+1519.23+919.44+999.01</f>
        <v>5107.08</v>
      </c>
      <c r="J527" s="18">
        <f>350</f>
        <v>350</v>
      </c>
      <c r="K527" s="18">
        <f>4488.75</f>
        <v>4488.75</v>
      </c>
      <c r="L527" s="88">
        <f>SUM(F527:K527)</f>
        <v>565503.94999999995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773733.71</v>
      </c>
      <c r="G529" s="89">
        <f t="shared" ref="G529:L529" si="37">SUM(G526:G528)</f>
        <v>350941.30000000005</v>
      </c>
      <c r="H529" s="89">
        <f t="shared" si="37"/>
        <v>37412</v>
      </c>
      <c r="I529" s="89">
        <f t="shared" si="37"/>
        <v>11489.58</v>
      </c>
      <c r="J529" s="89">
        <f t="shared" si="37"/>
        <v>999.5</v>
      </c>
      <c r="K529" s="89">
        <f t="shared" si="37"/>
        <v>8977.5</v>
      </c>
      <c r="L529" s="89">
        <f t="shared" si="37"/>
        <v>1183553.5899999999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23666.48+118464.28</f>
        <v>142130.76</v>
      </c>
      <c r="G531" s="18">
        <f>10517.28+36+53+1312.46+2643.5+46286.31</f>
        <v>60848.55</v>
      </c>
      <c r="H531" s="18">
        <f>6617.95</f>
        <v>6617.95</v>
      </c>
      <c r="I531" s="18">
        <f>1443.73</f>
        <v>1443.73</v>
      </c>
      <c r="J531" s="18">
        <f>484.29</f>
        <v>484.29</v>
      </c>
      <c r="K531" s="18">
        <f>1910.62</f>
        <v>1910.62</v>
      </c>
      <c r="L531" s="88">
        <f>SUM(F531:K531)</f>
        <v>213435.90000000002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24091.19+118464.28</f>
        <v>142555.47</v>
      </c>
      <c r="G532" s="18">
        <f>1000+36+49+1842.97+2686.07+46286.31</f>
        <v>51900.35</v>
      </c>
      <c r="H532" s="18">
        <f>6617.95</f>
        <v>6617.95</v>
      </c>
      <c r="I532" s="18">
        <f>1443.73</f>
        <v>1443.73</v>
      </c>
      <c r="J532" s="18">
        <f>484.29</f>
        <v>484.29</v>
      </c>
      <c r="K532" s="18">
        <v>1910.62</v>
      </c>
      <c r="L532" s="88">
        <f>SUM(F532:K532)</f>
        <v>204912.41000000003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118464.28</f>
        <v>118464.28</v>
      </c>
      <c r="G533" s="18">
        <v>46286.31</v>
      </c>
      <c r="H533" s="18">
        <f>6617.95</f>
        <v>6617.95</v>
      </c>
      <c r="I533" s="18">
        <f>1443.73</f>
        <v>1443.73</v>
      </c>
      <c r="J533" s="18">
        <f>484.29</f>
        <v>484.29</v>
      </c>
      <c r="K533" s="18">
        <v>1910.62</v>
      </c>
      <c r="L533" s="88">
        <f>SUM(F533:K533)</f>
        <v>175207.18000000002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403150.51</v>
      </c>
      <c r="G534" s="89">
        <f t="shared" ref="G534:L534" si="38">SUM(G531:G533)</f>
        <v>159035.21</v>
      </c>
      <c r="H534" s="89">
        <f t="shared" si="38"/>
        <v>19853.849999999999</v>
      </c>
      <c r="I534" s="89">
        <f t="shared" si="38"/>
        <v>4331.1900000000005</v>
      </c>
      <c r="J534" s="89">
        <f t="shared" si="38"/>
        <v>1452.8700000000001</v>
      </c>
      <c r="K534" s="89">
        <f t="shared" si="38"/>
        <v>5731.86</v>
      </c>
      <c r="L534" s="89">
        <f t="shared" si="38"/>
        <v>593555.49000000011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 t="s">
        <v>287</v>
      </c>
      <c r="G536" s="18"/>
      <c r="H536" s="18">
        <f>78683.43/3</f>
        <v>26227.809999999998</v>
      </c>
      <c r="I536" s="18"/>
      <c r="J536" s="18"/>
      <c r="K536" s="18"/>
      <c r="L536" s="88">
        <f>SUM(F536:K536)</f>
        <v>26227.809999999998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 t="s">
        <v>287</v>
      </c>
      <c r="G537" s="18"/>
      <c r="H537" s="18">
        <f>78683.43/3</f>
        <v>26227.809999999998</v>
      </c>
      <c r="I537" s="18"/>
      <c r="J537" s="18"/>
      <c r="K537" s="18"/>
      <c r="L537" s="88">
        <f>SUM(F537:K537)</f>
        <v>26227.809999999998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 t="s">
        <v>287</v>
      </c>
      <c r="G538" s="18"/>
      <c r="H538" s="18">
        <f>78683.43/3</f>
        <v>26227.809999999998</v>
      </c>
      <c r="I538" s="18"/>
      <c r="J538" s="18"/>
      <c r="K538" s="18"/>
      <c r="L538" s="88">
        <f>SUM(F538:K538)</f>
        <v>26227.809999999998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78683.429999999993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78683.429999999993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87412.73+84513.85</f>
        <v>171926.58000000002</v>
      </c>
      <c r="I541" s="18"/>
      <c r="J541" s="18"/>
      <c r="K541" s="18"/>
      <c r="L541" s="88">
        <f>SUM(F541:K541)</f>
        <v>171926.58000000002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87025.39</f>
        <v>87025.39</v>
      </c>
      <c r="I542" s="18"/>
      <c r="J542" s="18"/>
      <c r="K542" s="18"/>
      <c r="L542" s="88">
        <f>SUM(F542:K542)</f>
        <v>87025.39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94472.85</v>
      </c>
      <c r="I543" s="18"/>
      <c r="J543" s="18"/>
      <c r="K543" s="18"/>
      <c r="L543" s="88">
        <f>SUM(F543:K543)</f>
        <v>94472.85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353424.82000000007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353424.82000000007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2544427.3499999996</v>
      </c>
      <c r="G545" s="89">
        <f t="shared" ref="G545:L545" si="41">G524+G529+G534+G539+G544</f>
        <v>1217516.44</v>
      </c>
      <c r="H545" s="89">
        <f t="shared" si="41"/>
        <v>1503461.67</v>
      </c>
      <c r="I545" s="89">
        <f t="shared" si="41"/>
        <v>31979.68</v>
      </c>
      <c r="J545" s="89">
        <f t="shared" si="41"/>
        <v>17008.829999999998</v>
      </c>
      <c r="K545" s="89">
        <f t="shared" si="41"/>
        <v>14709.36</v>
      </c>
      <c r="L545" s="89">
        <f t="shared" si="41"/>
        <v>5329103.33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1156875.7800000003</v>
      </c>
      <c r="G549" s="87">
        <f>L526</f>
        <v>618049.64</v>
      </c>
      <c r="H549" s="87">
        <f>L531</f>
        <v>213435.90000000002</v>
      </c>
      <c r="I549" s="87">
        <f>L536</f>
        <v>26227.809999999998</v>
      </c>
      <c r="J549" s="87">
        <f>L541</f>
        <v>171926.58000000002</v>
      </c>
      <c r="K549" s="87">
        <f>SUM(F549:J549)</f>
        <v>2186515.7100000004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1335932.9700000002</v>
      </c>
      <c r="G550" s="87">
        <f>L527</f>
        <v>565503.94999999995</v>
      </c>
      <c r="H550" s="87">
        <f>L532</f>
        <v>204912.41000000003</v>
      </c>
      <c r="I550" s="87">
        <f>L537</f>
        <v>26227.809999999998</v>
      </c>
      <c r="J550" s="87">
        <f>L542</f>
        <v>87025.39</v>
      </c>
      <c r="K550" s="87">
        <f>SUM(F550:J550)</f>
        <v>2219602.5300000003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627077.24999999988</v>
      </c>
      <c r="G551" s="87">
        <f>L528</f>
        <v>0</v>
      </c>
      <c r="H551" s="87">
        <f>L533</f>
        <v>175207.18000000002</v>
      </c>
      <c r="I551" s="87">
        <f>L538</f>
        <v>26227.809999999998</v>
      </c>
      <c r="J551" s="87">
        <f>L543</f>
        <v>94472.85</v>
      </c>
      <c r="K551" s="87">
        <f>SUM(F551:J551)</f>
        <v>922985.09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3119886.0000000005</v>
      </c>
      <c r="G552" s="89">
        <f t="shared" si="42"/>
        <v>1183553.5899999999</v>
      </c>
      <c r="H552" s="89">
        <f t="shared" si="42"/>
        <v>593555.49000000011</v>
      </c>
      <c r="I552" s="89">
        <f t="shared" si="42"/>
        <v>78683.429999999993</v>
      </c>
      <c r="J552" s="89">
        <f t="shared" si="42"/>
        <v>353424.82000000007</v>
      </c>
      <c r="K552" s="89">
        <f t="shared" si="42"/>
        <v>5329103.33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3877685.87</v>
      </c>
      <c r="I575" s="87">
        <f>SUM(F575:H575)</f>
        <v>3877685.87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1529081.62</v>
      </c>
      <c r="I577" s="87">
        <f t="shared" si="47"/>
        <v>1529081.62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 t="s">
        <v>287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300270.34999999998</v>
      </c>
      <c r="I579" s="87">
        <f t="shared" si="47"/>
        <v>300270.34999999998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91294.36</v>
      </c>
      <c r="I581" s="87">
        <f t="shared" si="47"/>
        <v>91294.36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45658.78</v>
      </c>
      <c r="G582" s="18">
        <v>267881.92</v>
      </c>
      <c r="H582" s="18">
        <v>227579.72</v>
      </c>
      <c r="I582" s="87">
        <f t="shared" si="47"/>
        <v>541120.41999999993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222589</v>
      </c>
      <c r="I591" s="18">
        <v>222589</v>
      </c>
      <c r="J591" s="18">
        <v>178071.2</v>
      </c>
      <c r="K591" s="104">
        <f t="shared" ref="K591:K597" si="48">SUM(H591:J591)</f>
        <v>623249.19999999995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87412.73+84513.85</f>
        <v>171926.58000000002</v>
      </c>
      <c r="I592" s="18">
        <v>87025.39</v>
      </c>
      <c r="J592" s="18">
        <v>94472.85</v>
      </c>
      <c r="K592" s="104">
        <f t="shared" si="48"/>
        <v>353424.82000000007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6224.38</v>
      </c>
      <c r="J594" s="18"/>
      <c r="K594" s="104">
        <f t="shared" si="48"/>
        <v>6224.38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4000.01+277.6</f>
        <v>4277.6100000000006</v>
      </c>
      <c r="I595" s="18">
        <v>6533.52</v>
      </c>
      <c r="J595" s="18"/>
      <c r="K595" s="104">
        <f t="shared" si="48"/>
        <v>10811.130000000001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398793.19</v>
      </c>
      <c r="I598" s="108">
        <f>SUM(I591:I597)</f>
        <v>322372.29000000004</v>
      </c>
      <c r="J598" s="108">
        <f>SUM(J591:J597)</f>
        <v>272544.05000000005</v>
      </c>
      <c r="K598" s="108">
        <f>SUM(K591:K597)</f>
        <v>993709.53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109452.59</v>
      </c>
      <c r="I604" s="18">
        <v>120612.53</v>
      </c>
      <c r="J604" s="18">
        <v>1845.11</v>
      </c>
      <c r="K604" s="104">
        <f>SUM(H604:J604)</f>
        <v>231910.22999999998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109452.59</v>
      </c>
      <c r="I605" s="108">
        <f>SUM(I602:I604)</f>
        <v>120612.53</v>
      </c>
      <c r="J605" s="108">
        <f>SUM(J602:J604)</f>
        <v>1845.11</v>
      </c>
      <c r="K605" s="108">
        <f>SUM(K602:K604)</f>
        <v>231910.22999999998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32439.75</v>
      </c>
      <c r="G611" s="18">
        <f>F611*7.65%</f>
        <v>2481.6408750000001</v>
      </c>
      <c r="H611" s="18"/>
      <c r="I611" s="18"/>
      <c r="J611" s="18"/>
      <c r="K611" s="18"/>
      <c r="L611" s="88">
        <f>SUM(F611:K611)</f>
        <v>34921.390874999997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32439.75</v>
      </c>
      <c r="G614" s="108">
        <f t="shared" si="49"/>
        <v>2481.6408750000001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34921.390874999997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2180279.5099999998</v>
      </c>
      <c r="H617" s="109">
        <f>SUM(F52)</f>
        <v>2180279.5099999998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35856.31</v>
      </c>
      <c r="H618" s="109">
        <f>SUM(G52)</f>
        <v>35856.31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544787.54</v>
      </c>
      <c r="H619" s="109">
        <f>SUM(H52)</f>
        <v>544787.54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1092727.22</v>
      </c>
      <c r="H621" s="109">
        <f>SUM(J52)</f>
        <v>1092727.22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1271385.3599999999</v>
      </c>
      <c r="H622" s="109">
        <f>F476</f>
        <v>1271385.3599999994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1654.85</v>
      </c>
      <c r="H623" s="109">
        <f>G476</f>
        <v>1654.8500000000349</v>
      </c>
      <c r="I623" s="121" t="s">
        <v>102</v>
      </c>
      <c r="J623" s="109">
        <f t="shared" si="50"/>
        <v>-3.5015546018257737E-11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544787.54</v>
      </c>
      <c r="H624" s="109">
        <f>H476</f>
        <v>544787.54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1092727.22</v>
      </c>
      <c r="H626" s="109">
        <f>J476</f>
        <v>1092727.22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22568606.84</v>
      </c>
      <c r="H627" s="104">
        <f>SUM(F468)</f>
        <v>22568606.84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286339.14</v>
      </c>
      <c r="H628" s="104">
        <f>SUM(G468)</f>
        <v>286339.14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403487.59</v>
      </c>
      <c r="H629" s="104">
        <f>SUM(H468)</f>
        <v>403487.59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151639.74</v>
      </c>
      <c r="H631" s="104">
        <f>SUM(J468)</f>
        <v>151639.74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22104970.98</v>
      </c>
      <c r="H632" s="104">
        <f>SUM(F472)</f>
        <v>22104970.98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448755.23</v>
      </c>
      <c r="H633" s="104">
        <f>SUM(H472)</f>
        <v>448755.23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284684.28500000003</v>
      </c>
      <c r="H635" s="104">
        <f>SUM(G472)</f>
        <v>284684.28999999998</v>
      </c>
      <c r="I635" s="140" t="s">
        <v>114</v>
      </c>
      <c r="J635" s="109">
        <f t="shared" si="50"/>
        <v>-4.999999946448952E-3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151639.74</v>
      </c>
      <c r="H637" s="164">
        <f>SUM(J468)</f>
        <v>151639.74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220661.55</v>
      </c>
      <c r="H638" s="164">
        <f>SUM(J472)</f>
        <v>220661.55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1092727.22</v>
      </c>
      <c r="H639" s="104">
        <f>SUM(F461)</f>
        <v>1092727.22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1092727.22</v>
      </c>
      <c r="H642" s="104">
        <f>SUM(I461)</f>
        <v>1092727.22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1639.74</v>
      </c>
      <c r="H644" s="104">
        <f>H408</f>
        <v>1639.74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150000</v>
      </c>
      <c r="H645" s="104">
        <f>G408</f>
        <v>150000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151639.74</v>
      </c>
      <c r="H646" s="104">
        <f>L408</f>
        <v>151639.74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993709.53</v>
      </c>
      <c r="H647" s="104">
        <f>L208+L226+L244</f>
        <v>993709.53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231910.22999999998</v>
      </c>
      <c r="H648" s="104">
        <f>(J257+J338)-(J255+J336)</f>
        <v>231910.22999999998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398793.18999999994</v>
      </c>
      <c r="H649" s="104">
        <f>H598</f>
        <v>398793.19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322372.29000000004</v>
      </c>
      <c r="H650" s="104">
        <f>I598</f>
        <v>322372.29000000004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272544.05000000005</v>
      </c>
      <c r="H651" s="104">
        <f>J598</f>
        <v>272544.05000000005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150000</v>
      </c>
      <c r="H655" s="104">
        <f>K266+K347</f>
        <v>150000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-5.0000026822090149E-3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7237924.1949999975</v>
      </c>
      <c r="G660" s="19">
        <f>(L229+L309+L359)</f>
        <v>6379165.9699999997</v>
      </c>
      <c r="H660" s="19">
        <f>(L247+L328+L360)</f>
        <v>6575919.4799999995</v>
      </c>
      <c r="I660" s="19">
        <f>SUM(F660:H660)</f>
        <v>20193009.644999996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93985.626650699196</v>
      </c>
      <c r="G661" s="19">
        <f>(L359/IF(SUM(L358:L360)=0,1,SUM(L358:L360))*(SUM(G97:G110)))</f>
        <v>93985.623349300789</v>
      </c>
      <c r="H661" s="19">
        <f>(L360/IF(SUM(L358:L360)=0,1,SUM(L358:L360))*(SUM(G97:G110)))</f>
        <v>0</v>
      </c>
      <c r="I661" s="19">
        <f>SUM(F661:H661)</f>
        <v>187971.25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398793.18999999994</v>
      </c>
      <c r="G662" s="19">
        <f>(L226+L306)-(J226+J306)</f>
        <v>322372.29000000004</v>
      </c>
      <c r="H662" s="19">
        <f>(L244+L325)-(J244+J325)</f>
        <v>272544.05000000005</v>
      </c>
      <c r="I662" s="19">
        <f>SUM(F662:H662)</f>
        <v>993709.53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190032.76087499998</v>
      </c>
      <c r="G663" s="199">
        <f>SUM(G575:G587)+SUM(I602:I604)+L612</f>
        <v>388494.44999999995</v>
      </c>
      <c r="H663" s="199">
        <f>SUM(H575:H587)+SUM(J602:J604)+L613</f>
        <v>6027757.0300000003</v>
      </c>
      <c r="I663" s="19">
        <f>SUM(F663:H663)</f>
        <v>6606284.2408750001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6555112.6174742989</v>
      </c>
      <c r="G664" s="19">
        <f>G660-SUM(G661:G663)</f>
        <v>5574313.6066506989</v>
      </c>
      <c r="H664" s="19">
        <f>H660-SUM(H661:H663)</f>
        <v>275618.39999999944</v>
      </c>
      <c r="I664" s="19">
        <f>I660-SUM(I661:I663)</f>
        <v>12405044.624124996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511.9</v>
      </c>
      <c r="G665" s="248">
        <v>421.94</v>
      </c>
      <c r="H665" s="248"/>
      <c r="I665" s="19">
        <f>SUM(F665:H665)</f>
        <v>933.83999999999992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12805.46</v>
      </c>
      <c r="G667" s="19">
        <f>ROUND(G664/G665,2)</f>
        <v>13211.15</v>
      </c>
      <c r="H667" s="19" t="e">
        <f>ROUND(H664/H665,2)</f>
        <v>#DIV/0!</v>
      </c>
      <c r="I667" s="19">
        <f>ROUND(I664/I665,2)</f>
        <v>13283.91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-275618.40000000002</v>
      </c>
      <c r="I669" s="19">
        <f>SUM(F669:H669)</f>
        <v>-275618.40000000002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12805.46</v>
      </c>
      <c r="G672" s="19">
        <f>ROUND((G664+G669)/(G665+G670),2)</f>
        <v>13211.15</v>
      </c>
      <c r="H672" s="19" t="e">
        <f>ROUND((H664+H669)/(H665+H670),2)</f>
        <v>#DIV/0!</v>
      </c>
      <c r="I672" s="19">
        <f>ROUND((I664+I669)/(I665+I670),2)</f>
        <v>12988.76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5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Normal="100" zoomScalePageLayoutView="200" workbookViewId="0">
      <selection activeCell="B20" sqref="B20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SAU #74  BARRINGTON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3230710.9800000004</v>
      </c>
      <c r="C9" s="229">
        <f>'DOE25'!G197+'DOE25'!G215+'DOE25'!G233+'DOE25'!G276+'DOE25'!G295+'DOE25'!G314</f>
        <v>1661877.8900000001</v>
      </c>
    </row>
    <row r="10" spans="1:3" x14ac:dyDescent="0.2">
      <c r="A10" t="s">
        <v>779</v>
      </c>
      <c r="B10" s="240">
        <f>1261505.96+224942.68+1342677.65-33419.96</f>
        <v>2795706.33</v>
      </c>
      <c r="C10" s="240">
        <f>423623.81+87476.86+357539.34+703.12+12585.46+1809.9+10070.81+98512.29+26034.56+104786.95+197797.44+210325.67+13017.3</f>
        <v>1544283.51</v>
      </c>
    </row>
    <row r="11" spans="1:3" x14ac:dyDescent="0.2">
      <c r="A11" t="s">
        <v>780</v>
      </c>
      <c r="B11" s="240">
        <f>1564.1+112102+58069.2+7200</f>
        <v>178935.3</v>
      </c>
      <c r="C11" s="240">
        <f>66+903+360+975+274.94+2978.23+811.56+3169.67+47761.35+4901.5+90+3000+121.04+4442.29+6486.33-18977.94</f>
        <v>57362.97</v>
      </c>
    </row>
    <row r="12" spans="1:3" x14ac:dyDescent="0.2">
      <c r="A12" t="s">
        <v>781</v>
      </c>
      <c r="B12" s="240">
        <f>119157.22+8292+58479.83+15714.5+36348.5+17902.3+175</f>
        <v>256069.34999999998</v>
      </c>
      <c r="C12" s="240">
        <f>14778.94+11217.6+22537.69+11656.37+13.39+27.42</f>
        <v>60231.409999999996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3230710.98</v>
      </c>
      <c r="C13" s="231">
        <f>SUM(C10:C12)</f>
        <v>1661877.89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1535758.9699999997</v>
      </c>
      <c r="C18" s="229">
        <f>'DOE25'!G198+'DOE25'!G216+'DOE25'!G234+'DOE25'!G277+'DOE25'!G296+'DOE25'!G315</f>
        <v>791054.0199999999</v>
      </c>
    </row>
    <row r="19" spans="1:3" x14ac:dyDescent="0.2">
      <c r="A19" t="s">
        <v>779</v>
      </c>
      <c r="B19" s="240">
        <f>92499.94+37399.96+39849.94+32439.75+177402.95+39055.72+283989.06+22127.5</f>
        <v>724764.82000000007</v>
      </c>
      <c r="C19" s="240">
        <f>22868.86+15257.94+1231.97+60+73.27+181.31+162.59+2575.15+6751.18+2857.4+5860.64+14487.85+6244.42+2624.48+176842.62+24520.51+39441.36+66181.04-1832.86</f>
        <v>386389.73</v>
      </c>
    </row>
    <row r="20" spans="1:3" x14ac:dyDescent="0.2">
      <c r="A20" t="s">
        <v>780</v>
      </c>
      <c r="B20" s="240">
        <f>344450.2+97531.31+318626.72+6105</f>
        <v>766713.23</v>
      </c>
      <c r="C20" s="240">
        <f>234471.08+2692.44+3208.29+678+204+759+1262.74+314.19+1569.96+2624.48+11120.69+45308.39+80092.61+15127.9</f>
        <v>399433.77</v>
      </c>
    </row>
    <row r="21" spans="1:3" x14ac:dyDescent="0.2">
      <c r="A21" t="s">
        <v>781</v>
      </c>
      <c r="B21" s="240">
        <f>156+5157.9+1358+7014.27+16162.5+2664.75+11767.5</f>
        <v>44280.92</v>
      </c>
      <c r="C21" s="240">
        <f>204+759+1262.74+314.19+1569.96+467+653.63</f>
        <v>5230.5199999999995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1535758.97</v>
      </c>
      <c r="C22" s="231">
        <f>SUM(C19:C21)</f>
        <v>791054.02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43323.46</v>
      </c>
      <c r="C36" s="235">
        <f>'DOE25'!G200+'DOE25'!G218+'DOE25'!G236+'DOE25'!G279+'DOE25'!G298+'DOE25'!G317</f>
        <v>8460.91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14700+28623.46</f>
        <v>43323.46</v>
      </c>
      <c r="C39" s="240">
        <f>1124.48+1939.47+2187.9+3209.06</f>
        <v>8460.91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43323.46</v>
      </c>
      <c r="C40" s="231">
        <f>SUM(C37:C39)</f>
        <v>8460.91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Normal="100" zoomScalePageLayoutView="200" workbookViewId="0">
      <pane ySplit="4" topLeftCell="A5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SAU #74  BARRINGTON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13622670.75</v>
      </c>
      <c r="D5" s="20">
        <f>SUM('DOE25'!L197:L200)+SUM('DOE25'!L215:L218)+SUM('DOE25'!L233:L236)-F5-G5</f>
        <v>13602010.189999999</v>
      </c>
      <c r="E5" s="243"/>
      <c r="F5" s="255">
        <f>SUM('DOE25'!J197:J200)+SUM('DOE25'!J215:J218)+SUM('DOE25'!J233:J236)</f>
        <v>19786.559999999998</v>
      </c>
      <c r="G5" s="53">
        <f>SUM('DOE25'!K197:K200)+SUM('DOE25'!K215:K218)+SUM('DOE25'!K233:K236)</f>
        <v>874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1261054.23</v>
      </c>
      <c r="D6" s="20">
        <f>'DOE25'!L202+'DOE25'!L220+'DOE25'!L238-F6-G6</f>
        <v>1251077.23</v>
      </c>
      <c r="E6" s="243"/>
      <c r="F6" s="255">
        <f>'DOE25'!J202+'DOE25'!J220+'DOE25'!J238</f>
        <v>999.5</v>
      </c>
      <c r="G6" s="53">
        <f>'DOE25'!K202+'DOE25'!K220+'DOE25'!K238</f>
        <v>8977.5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757884.12</v>
      </c>
      <c r="D7" s="20">
        <f>'DOE25'!L203+'DOE25'!L221+'DOE25'!L239-F7-G7</f>
        <v>590716.52999999991</v>
      </c>
      <c r="E7" s="243"/>
      <c r="F7" s="255">
        <f>'DOE25'!J203+'DOE25'!J221+'DOE25'!J239</f>
        <v>139579.79</v>
      </c>
      <c r="G7" s="53">
        <f>'DOE25'!K203+'DOE25'!K221+'DOE25'!K239</f>
        <v>27587.8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173752.45000000004</v>
      </c>
      <c r="D8" s="243"/>
      <c r="E8" s="20">
        <f>'DOE25'!L204+'DOE25'!L222+'DOE25'!L240-F8-G8-D9-D11</f>
        <v>157853.62000000005</v>
      </c>
      <c r="F8" s="255">
        <f>'DOE25'!J204+'DOE25'!J222+'DOE25'!J240</f>
        <v>1452.8700000000001</v>
      </c>
      <c r="G8" s="53">
        <f>'DOE25'!K204+'DOE25'!K222+'DOE25'!K240</f>
        <v>14445.96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108588.52</v>
      </c>
      <c r="D9" s="244">
        <v>108588.52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15150</v>
      </c>
      <c r="D10" s="243"/>
      <c r="E10" s="244">
        <v>15150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333821.71000000002</v>
      </c>
      <c r="D11" s="244">
        <f>333821.71</f>
        <v>333821.71000000002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838849.16999999993</v>
      </c>
      <c r="D12" s="20">
        <f>'DOE25'!L205+'DOE25'!L223+'DOE25'!L241-F12-G12</f>
        <v>819059.05999999994</v>
      </c>
      <c r="E12" s="243"/>
      <c r="F12" s="255">
        <f>'DOE25'!J205+'DOE25'!J223+'DOE25'!J241</f>
        <v>17833.11</v>
      </c>
      <c r="G12" s="53">
        <f>'DOE25'!K205+'DOE25'!K223+'DOE25'!K241</f>
        <v>1957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192429.39</v>
      </c>
      <c r="D13" s="243"/>
      <c r="E13" s="20">
        <f>'DOE25'!L206+'DOE25'!L224+'DOE25'!L242-F13-G13</f>
        <v>192429.39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1176810.2599999998</v>
      </c>
      <c r="D14" s="20">
        <f>'DOE25'!L207+'DOE25'!L225+'DOE25'!L243-F14-G14</f>
        <v>1128796.5599999998</v>
      </c>
      <c r="E14" s="243"/>
      <c r="F14" s="255">
        <f>'DOE25'!J207+'DOE25'!J225+'DOE25'!J243</f>
        <v>48013.7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993709.53</v>
      </c>
      <c r="D15" s="20">
        <f>'DOE25'!L208+'DOE25'!L226+'DOE25'!L244-F15-G15</f>
        <v>993709.53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1539385.85</v>
      </c>
      <c r="D22" s="243"/>
      <c r="E22" s="243"/>
      <c r="F22" s="255">
        <f>'DOE25'!L255+'DOE25'!L336</f>
        <v>1539385.85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956015</v>
      </c>
      <c r="D25" s="243"/>
      <c r="E25" s="243"/>
      <c r="F25" s="258"/>
      <c r="G25" s="256"/>
      <c r="H25" s="257">
        <f>'DOE25'!L260+'DOE25'!L261+'DOE25'!L341+'DOE25'!L342</f>
        <v>956015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284684.28499999997</v>
      </c>
      <c r="D29" s="20">
        <f>'DOE25'!L358+'DOE25'!L359+'DOE25'!L360-'DOE25'!I367-F29-G29</f>
        <v>273097.84000000003</v>
      </c>
      <c r="E29" s="243"/>
      <c r="F29" s="255">
        <f>'DOE25'!J358+'DOE25'!J359+'DOE25'!J360</f>
        <v>11290.404999999999</v>
      </c>
      <c r="G29" s="53">
        <f>'DOE25'!K358+'DOE25'!K359+'DOE25'!K360</f>
        <v>296.04000000000002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448755.23</v>
      </c>
      <c r="D31" s="20">
        <f>'DOE25'!L290+'DOE25'!L309+'DOE25'!L328+'DOE25'!L333+'DOE25'!L334+'DOE25'!L335-F31-G31</f>
        <v>444510.52999999997</v>
      </c>
      <c r="E31" s="243"/>
      <c r="F31" s="255">
        <f>'DOE25'!J290+'DOE25'!J309+'DOE25'!J328+'DOE25'!J333+'DOE25'!J334+'DOE25'!J335</f>
        <v>4244.7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19545387.700000003</v>
      </c>
      <c r="E33" s="246">
        <f>SUM(E5:E31)</f>
        <v>365433.01000000007</v>
      </c>
      <c r="F33" s="246">
        <f>SUM(F5:F31)</f>
        <v>1782586.4850000001</v>
      </c>
      <c r="G33" s="246">
        <f>SUM(G5:G31)</f>
        <v>54138.3</v>
      </c>
      <c r="H33" s="246">
        <f>SUM(H5:H31)</f>
        <v>956015</v>
      </c>
    </row>
    <row r="35" spans="2:8" ht="12" thickBot="1" x14ac:dyDescent="0.25">
      <c r="B35" s="253" t="s">
        <v>847</v>
      </c>
      <c r="D35" s="254">
        <f>E33</f>
        <v>365433.01000000007</v>
      </c>
      <c r="E35" s="249"/>
    </row>
    <row r="36" spans="2:8" ht="12" thickTop="1" x14ac:dyDescent="0.2">
      <c r="B36" t="s">
        <v>815</v>
      </c>
      <c r="D36" s="20">
        <f>D33</f>
        <v>19545387.700000003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zoomScalePageLayoutView="150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SAU #74  BARRINGTON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1870615.44</v>
      </c>
      <c r="D8" s="95">
        <f>'DOE25'!G9</f>
        <v>0</v>
      </c>
      <c r="E8" s="95">
        <f>'DOE25'!H9</f>
        <v>544787.54</v>
      </c>
      <c r="F8" s="95">
        <f>'DOE25'!I9</f>
        <v>0</v>
      </c>
      <c r="G8" s="95">
        <f>'DOE25'!J9</f>
        <v>1092727.22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6964.31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18956.810000000001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16899.5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302699.76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2180279.5099999998</v>
      </c>
      <c r="D18" s="41">
        <f>SUM(D8:D17)</f>
        <v>35856.31</v>
      </c>
      <c r="E18" s="41">
        <f>SUM(E8:E17)</f>
        <v>544787.54</v>
      </c>
      <c r="F18" s="41">
        <f>SUM(F8:F17)</f>
        <v>0</v>
      </c>
      <c r="G18" s="41">
        <f>SUM(G8:G17)</f>
        <v>1092727.22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151349.88</v>
      </c>
      <c r="D21" s="95">
        <f>'DOE25'!G22</f>
        <v>25743.84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138180.32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619363.94999999995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8457.6200000000008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908894.14999999991</v>
      </c>
      <c r="D31" s="41">
        <f>SUM(D21:D30)</f>
        <v>34201.46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1654.85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 t="str">
        <f>'DOE25'!F45</f>
        <v xml:space="preserve"> 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349972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544787.54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1092727.22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621413.36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1271385.3599999999</v>
      </c>
      <c r="D50" s="41">
        <f>SUM(D34:D49)</f>
        <v>1654.85</v>
      </c>
      <c r="E50" s="41">
        <f>SUM(E34:E49)</f>
        <v>544787.54</v>
      </c>
      <c r="F50" s="41">
        <f>SUM(F34:F49)</f>
        <v>0</v>
      </c>
      <c r="G50" s="41">
        <f>SUM(G34:G49)</f>
        <v>1092727.22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2180279.5099999998</v>
      </c>
      <c r="D51" s="41">
        <f>D50+D31</f>
        <v>35856.31</v>
      </c>
      <c r="E51" s="41">
        <f>E50+E31</f>
        <v>544787.54</v>
      </c>
      <c r="F51" s="41">
        <f>F50+F31</f>
        <v>0</v>
      </c>
      <c r="G51" s="41">
        <f>G50+G31</f>
        <v>1092727.22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13994473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243446.72999999998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572.46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1639.74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187971.25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244019.18999999997</v>
      </c>
      <c r="D62" s="130">
        <f>SUM(D57:D61)</f>
        <v>187971.25</v>
      </c>
      <c r="E62" s="130">
        <f>SUM(E57:E61)</f>
        <v>0</v>
      </c>
      <c r="F62" s="130">
        <f>SUM(F57:F61)</f>
        <v>0</v>
      </c>
      <c r="G62" s="130">
        <f>SUM(G57:G61)</f>
        <v>1639.74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14238492.189999999</v>
      </c>
      <c r="D63" s="22">
        <f>D56+D62</f>
        <v>187971.25</v>
      </c>
      <c r="E63" s="22">
        <f>E56+E62</f>
        <v>0</v>
      </c>
      <c r="F63" s="22">
        <f>F56+F62</f>
        <v>0</v>
      </c>
      <c r="G63" s="22">
        <f>G56+G62</f>
        <v>1639.74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4281921.43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2022192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6304113.4299999997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231529.28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151025.39000000001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4197.18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382554.67000000004</v>
      </c>
      <c r="D78" s="130">
        <f>SUM(D72:D77)</f>
        <v>4197.18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6686668.0999999996</v>
      </c>
      <c r="D81" s="130">
        <f>SUM(D79:D80)+D78+D70</f>
        <v>4197.18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260330.02</v>
      </c>
      <c r="D88" s="95">
        <f>SUM('DOE25'!G153:G161)</f>
        <v>94170.709999999992</v>
      </c>
      <c r="E88" s="95">
        <f>SUM('DOE25'!H153:H161)</f>
        <v>403487.59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260330.02</v>
      </c>
      <c r="D91" s="131">
        <f>SUM(D85:D90)</f>
        <v>94170.709999999992</v>
      </c>
      <c r="E91" s="131">
        <f>SUM(E85:E90)</f>
        <v>403487.59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1383116.53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1383116.53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150000</v>
      </c>
    </row>
    <row r="104" spans="1:7" ht="12.75" thickTop="1" thickBot="1" x14ac:dyDescent="0.25">
      <c r="A104" s="33" t="s">
        <v>765</v>
      </c>
      <c r="C104" s="86">
        <f>C63+C81+C91+C103</f>
        <v>22568606.84</v>
      </c>
      <c r="D104" s="86">
        <f>D63+D81+D91+D103</f>
        <v>286339.14</v>
      </c>
      <c r="E104" s="86">
        <f>E63+E81+E91+E103</f>
        <v>403487.59</v>
      </c>
      <c r="F104" s="86">
        <f>F63+F81+F91+F103</f>
        <v>0</v>
      </c>
      <c r="G104" s="86">
        <f>G63+G81+G103</f>
        <v>151639.74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10438624.700000001</v>
      </c>
      <c r="D109" s="24" t="s">
        <v>289</v>
      </c>
      <c r="E109" s="95">
        <f>('DOE25'!L276)+('DOE25'!L295)+('DOE25'!L314)</f>
        <v>116702.67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3118352.01</v>
      </c>
      <c r="D110" s="24" t="s">
        <v>289</v>
      </c>
      <c r="E110" s="95">
        <f>('DOE25'!L277)+('DOE25'!L296)+('DOE25'!L315)</f>
        <v>253263.91999999998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65694.039999999994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13622670.75</v>
      </c>
      <c r="D115" s="86">
        <f>SUM(D109:D114)</f>
        <v>0</v>
      </c>
      <c r="E115" s="86">
        <f>SUM(E109:E114)</f>
        <v>369966.58999999997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1261054.23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757884.12</v>
      </c>
      <c r="D119" s="24" t="s">
        <v>289</v>
      </c>
      <c r="E119" s="95">
        <f>+('DOE25'!L282)+('DOE25'!L301)+('DOE25'!L320)</f>
        <v>78788.639999999999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616162.68000000005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838849.16999999993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192429.39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1176810.2599999998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993709.53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284684.28500000003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5836899.3799999999</v>
      </c>
      <c r="D128" s="86">
        <f>SUM(D118:D127)</f>
        <v>284684.28500000003</v>
      </c>
      <c r="E128" s="86">
        <f>SUM(E118:E127)</f>
        <v>78788.639999999999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1539385.85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710000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246015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151639.74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-1639.7399999999907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2645400.8499999996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22104970.979999997</v>
      </c>
      <c r="D145" s="86">
        <f>(D115+D128+D144)</f>
        <v>284684.28500000003</v>
      </c>
      <c r="E145" s="86">
        <f>(E115+E128+E144)</f>
        <v>448755.23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10/22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14144129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4970000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4970000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710000</v>
      </c>
    </row>
    <row r="159" spans="1:9" x14ac:dyDescent="0.2">
      <c r="A159" s="22" t="s">
        <v>35</v>
      </c>
      <c r="B159" s="137">
        <f>'DOE25'!F498</f>
        <v>4260000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4260000</v>
      </c>
    </row>
    <row r="160" spans="1:9" x14ac:dyDescent="0.2">
      <c r="A160" s="22" t="s">
        <v>36</v>
      </c>
      <c r="B160" s="137">
        <f>'DOE25'!F499</f>
        <v>823600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823600</v>
      </c>
    </row>
    <row r="161" spans="1:7" x14ac:dyDescent="0.2">
      <c r="A161" s="22" t="s">
        <v>37</v>
      </c>
      <c r="B161" s="137">
        <f>'DOE25'!F500</f>
        <v>5083600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5083600</v>
      </c>
    </row>
    <row r="162" spans="1:7" x14ac:dyDescent="0.2">
      <c r="A162" s="22" t="s">
        <v>38</v>
      </c>
      <c r="B162" s="137">
        <f>'DOE25'!F501</f>
        <v>710000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710000</v>
      </c>
    </row>
    <row r="163" spans="1:7" x14ac:dyDescent="0.2">
      <c r="A163" s="22" t="s">
        <v>39</v>
      </c>
      <c r="B163" s="137">
        <f>'DOE25'!F502</f>
        <v>215130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215130</v>
      </c>
    </row>
    <row r="164" spans="1:7" x14ac:dyDescent="0.2">
      <c r="A164" s="22" t="s">
        <v>246</v>
      </c>
      <c r="B164" s="137">
        <f>'DOE25'!F503</f>
        <v>925130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925130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80" orientation="landscape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zoomScaleNormal="100" zoomScalePageLayoutView="200" workbookViewId="0">
      <selection activeCell="C4" sqref="C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SAU #74  BARRINGTON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12805</v>
      </c>
    </row>
    <row r="5" spans="1:4" x14ac:dyDescent="0.2">
      <c r="B5" t="s">
        <v>704</v>
      </c>
      <c r="C5" s="179">
        <f>IF('DOE25'!G665+'DOE25'!G670=0,0,ROUND('DOE25'!G672,0))</f>
        <v>13211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12989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10555327</v>
      </c>
      <c r="D10" s="182">
        <f>ROUND((C10/$C$28)*100,1)</f>
        <v>52.1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3371616</v>
      </c>
      <c r="D11" s="182">
        <f>ROUND((C11/$C$28)*100,1)</f>
        <v>16.600000000000001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65694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1261054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836673</v>
      </c>
      <c r="D16" s="182">
        <f t="shared" si="0"/>
        <v>4.0999999999999996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616163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838849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192429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1176810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993710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246015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96712.75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20251052.75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1539386</v>
      </c>
    </row>
    <row r="30" spans="1:4" x14ac:dyDescent="0.2">
      <c r="B30" s="187" t="s">
        <v>729</v>
      </c>
      <c r="C30" s="180">
        <f>SUM(C28:C29)</f>
        <v>21790438.75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710000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13994473</v>
      </c>
      <c r="D35" s="182">
        <f t="shared" ref="D35:D40" si="1">ROUND((C35/$C$41)*100,1)</f>
        <v>60.7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245658.93000000156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6304113</v>
      </c>
      <c r="D37" s="182">
        <f t="shared" si="1"/>
        <v>27.3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386752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757988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1383117</v>
      </c>
      <c r="D40" s="182">
        <f t="shared" si="1"/>
        <v>6</v>
      </c>
    </row>
    <row r="41" spans="1:4" x14ac:dyDescent="0.2">
      <c r="B41" s="187" t="s">
        <v>736</v>
      </c>
      <c r="C41" s="180">
        <f>SUM(C35:C40)</f>
        <v>23072101.93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SAU #74  BARRINGTON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1.2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2016-09-14T17:38:53Z</cp:lastPrinted>
  <dcterms:created xsi:type="dcterms:W3CDTF">1997-12-04T19:04:30Z</dcterms:created>
  <dcterms:modified xsi:type="dcterms:W3CDTF">2016-09-15T13:49:52Z</dcterms:modified>
</cp:coreProperties>
</file>