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8770" windowHeight="12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J591" i="1" l="1"/>
  <c r="H526" i="1"/>
  <c r="G526" i="1"/>
  <c r="F526" i="1"/>
  <c r="F13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C111" i="2" s="1"/>
  <c r="L200" i="1"/>
  <c r="L215" i="1"/>
  <c r="L216" i="1"/>
  <c r="L229" i="1" s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D12" i="13" s="1"/>
  <c r="C12" i="13" s="1"/>
  <c r="L241" i="1"/>
  <c r="F14" i="13"/>
  <c r="G14" i="13"/>
  <c r="L207" i="1"/>
  <c r="L225" i="1"/>
  <c r="L243" i="1"/>
  <c r="F15" i="13"/>
  <c r="G15" i="13"/>
  <c r="L208" i="1"/>
  <c r="H647" i="1" s="1"/>
  <c r="L226" i="1"/>
  <c r="L244" i="1"/>
  <c r="F17" i="13"/>
  <c r="D17" i="13" s="1"/>
  <c r="C17" i="13" s="1"/>
  <c r="G17" i="13"/>
  <c r="L251" i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L359" i="1"/>
  <c r="F661" i="1" s="1"/>
  <c r="L360" i="1"/>
  <c r="I367" i="1"/>
  <c r="J290" i="1"/>
  <c r="J309" i="1"/>
  <c r="J328" i="1"/>
  <c r="K290" i="1"/>
  <c r="K309" i="1"/>
  <c r="K328" i="1"/>
  <c r="L276" i="1"/>
  <c r="L277" i="1"/>
  <c r="E110" i="2" s="1"/>
  <c r="L278" i="1"/>
  <c r="L279" i="1"/>
  <c r="E112" i="2" s="1"/>
  <c r="L281" i="1"/>
  <c r="L282" i="1"/>
  <c r="L283" i="1"/>
  <c r="L284" i="1"/>
  <c r="E121" i="2" s="1"/>
  <c r="L285" i="1"/>
  <c r="E122" i="2" s="1"/>
  <c r="L286" i="1"/>
  <c r="L287" i="1"/>
  <c r="L288" i="1"/>
  <c r="E125" i="2" s="1"/>
  <c r="L295" i="1"/>
  <c r="L309" i="1" s="1"/>
  <c r="L296" i="1"/>
  <c r="L297" i="1"/>
  <c r="L298" i="1"/>
  <c r="C13" i="10" s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56" i="2" s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9" i="1" s="1"/>
  <c r="F162" i="1"/>
  <c r="G147" i="1"/>
  <c r="G162" i="1"/>
  <c r="H147" i="1"/>
  <c r="H162" i="1"/>
  <c r="H169" i="1" s="1"/>
  <c r="I147" i="1"/>
  <c r="I162" i="1"/>
  <c r="C20" i="10"/>
  <c r="L250" i="1"/>
  <c r="L332" i="1"/>
  <c r="L254" i="1"/>
  <c r="L268" i="1"/>
  <c r="L269" i="1"/>
  <c r="C143" i="2" s="1"/>
  <c r="L349" i="1"/>
  <c r="C26" i="10" s="1"/>
  <c r="L350" i="1"/>
  <c r="I665" i="1"/>
  <c r="I670" i="1"/>
  <c r="G662" i="1"/>
  <c r="H662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 s="1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2" i="2"/>
  <c r="C113" i="2"/>
  <c r="E113" i="2"/>
  <c r="C114" i="2"/>
  <c r="D115" i="2"/>
  <c r="F115" i="2"/>
  <c r="G115" i="2"/>
  <c r="C119" i="2"/>
  <c r="E119" i="2"/>
  <c r="E120" i="2"/>
  <c r="C123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G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G625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K257" i="1" s="1"/>
  <c r="K271" i="1" s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F408" i="1" s="1"/>
  <c r="H643" i="1" s="1"/>
  <c r="G393" i="1"/>
  <c r="H393" i="1"/>
  <c r="I393" i="1"/>
  <c r="I408" i="1" s="1"/>
  <c r="F401" i="1"/>
  <c r="G401" i="1"/>
  <c r="H401" i="1"/>
  <c r="I401" i="1"/>
  <c r="F407" i="1"/>
  <c r="G407" i="1"/>
  <c r="H407" i="1"/>
  <c r="I407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F461" i="1" s="1"/>
  <c r="H639" i="1" s="1"/>
  <c r="G452" i="1"/>
  <c r="H452" i="1"/>
  <c r="H461" i="1" s="1"/>
  <c r="H641" i="1" s="1"/>
  <c r="F460" i="1"/>
  <c r="G460" i="1"/>
  <c r="G461" i="1" s="1"/>
  <c r="H640" i="1" s="1"/>
  <c r="H460" i="1"/>
  <c r="I460" i="1"/>
  <c r="F470" i="1"/>
  <c r="G470" i="1"/>
  <c r="G476" i="1" s="1"/>
  <c r="H623" i="1" s="1"/>
  <c r="H470" i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G545" i="1" s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J571" i="1" s="1"/>
  <c r="K560" i="1"/>
  <c r="K571" i="1" s="1"/>
  <c r="L562" i="1"/>
  <c r="L565" i="1" s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G643" i="1"/>
  <c r="J643" i="1" s="1"/>
  <c r="G644" i="1"/>
  <c r="G650" i="1"/>
  <c r="G651" i="1"/>
  <c r="G652" i="1"/>
  <c r="H652" i="1"/>
  <c r="G653" i="1"/>
  <c r="H653" i="1"/>
  <c r="G654" i="1"/>
  <c r="H654" i="1"/>
  <c r="H655" i="1"/>
  <c r="J655" i="1" s="1"/>
  <c r="F192" i="1"/>
  <c r="A31" i="12"/>
  <c r="C78" i="2"/>
  <c r="E13" i="13"/>
  <c r="C13" i="13" s="1"/>
  <c r="E78" i="2"/>
  <c r="H112" i="1"/>
  <c r="I169" i="1"/>
  <c r="J476" i="1"/>
  <c r="H626" i="1" s="1"/>
  <c r="H476" i="1"/>
  <c r="H624" i="1" s="1"/>
  <c r="F476" i="1"/>
  <c r="H622" i="1" s="1"/>
  <c r="J140" i="1"/>
  <c r="K550" i="1"/>
  <c r="H140" i="1"/>
  <c r="F22" i="13"/>
  <c r="C22" i="13" s="1"/>
  <c r="H192" i="1"/>
  <c r="L570" i="1"/>
  <c r="G36" i="2"/>
  <c r="A40" i="12" l="1"/>
  <c r="J651" i="1"/>
  <c r="K598" i="1"/>
  <c r="G647" i="1" s="1"/>
  <c r="J647" i="1" s="1"/>
  <c r="H545" i="1"/>
  <c r="G552" i="1"/>
  <c r="K549" i="1"/>
  <c r="I452" i="1"/>
  <c r="I461" i="1" s="1"/>
  <c r="H642" i="1" s="1"/>
  <c r="J639" i="1"/>
  <c r="I446" i="1"/>
  <c r="G642" i="1" s="1"/>
  <c r="H408" i="1"/>
  <c r="H644" i="1" s="1"/>
  <c r="J644" i="1" s="1"/>
  <c r="G408" i="1"/>
  <c r="H645" i="1" s="1"/>
  <c r="J645" i="1" s="1"/>
  <c r="L401" i="1"/>
  <c r="C139" i="2" s="1"/>
  <c r="L393" i="1"/>
  <c r="C138" i="2" s="1"/>
  <c r="J634" i="1"/>
  <c r="L362" i="1"/>
  <c r="G635" i="1" s="1"/>
  <c r="J635" i="1" s="1"/>
  <c r="D29" i="13"/>
  <c r="C29" i="13" s="1"/>
  <c r="C16" i="10"/>
  <c r="H338" i="1"/>
  <c r="H352" i="1" s="1"/>
  <c r="F338" i="1"/>
  <c r="F352" i="1" s="1"/>
  <c r="A13" i="12"/>
  <c r="L270" i="1"/>
  <c r="J257" i="1"/>
  <c r="J271" i="1" s="1"/>
  <c r="I257" i="1"/>
  <c r="I271" i="1" s="1"/>
  <c r="E8" i="13"/>
  <c r="C8" i="13" s="1"/>
  <c r="C17" i="10"/>
  <c r="F257" i="1"/>
  <c r="F271" i="1" s="1"/>
  <c r="G257" i="1"/>
  <c r="G271" i="1" s="1"/>
  <c r="D6" i="13"/>
  <c r="C6" i="13" s="1"/>
  <c r="C110" i="2"/>
  <c r="C115" i="2" s="1"/>
  <c r="L247" i="1"/>
  <c r="H660" i="1" s="1"/>
  <c r="C109" i="2"/>
  <c r="E16" i="13"/>
  <c r="C16" i="13" s="1"/>
  <c r="D14" i="13"/>
  <c r="C14" i="13" s="1"/>
  <c r="C121" i="2"/>
  <c r="D7" i="13"/>
  <c r="C7" i="13" s="1"/>
  <c r="C15" i="10"/>
  <c r="L211" i="1"/>
  <c r="C11" i="10"/>
  <c r="C10" i="10"/>
  <c r="H257" i="1"/>
  <c r="H271" i="1" s="1"/>
  <c r="G645" i="1"/>
  <c r="C70" i="2"/>
  <c r="C81" i="2" s="1"/>
  <c r="E62" i="2"/>
  <c r="E63" i="2" s="1"/>
  <c r="D62" i="2"/>
  <c r="D63" i="2" s="1"/>
  <c r="J622" i="1"/>
  <c r="J624" i="1"/>
  <c r="J623" i="1"/>
  <c r="E31" i="2"/>
  <c r="J617" i="1"/>
  <c r="D18" i="2"/>
  <c r="C18" i="2"/>
  <c r="J640" i="1"/>
  <c r="J625" i="1"/>
  <c r="J641" i="1"/>
  <c r="L290" i="1"/>
  <c r="K503" i="1"/>
  <c r="L382" i="1"/>
  <c r="G636" i="1" s="1"/>
  <c r="J636" i="1" s="1"/>
  <c r="E118" i="2"/>
  <c r="E128" i="2" s="1"/>
  <c r="E109" i="2"/>
  <c r="E115" i="2" s="1"/>
  <c r="C62" i="2"/>
  <c r="C63" i="2" s="1"/>
  <c r="C29" i="10"/>
  <c r="D15" i="13"/>
  <c r="C15" i="13" s="1"/>
  <c r="L544" i="1"/>
  <c r="D127" i="2"/>
  <c r="D128" i="2" s="1"/>
  <c r="D145" i="2" s="1"/>
  <c r="C122" i="2"/>
  <c r="C118" i="2"/>
  <c r="F662" i="1"/>
  <c r="I662" i="1" s="1"/>
  <c r="H25" i="13"/>
  <c r="F112" i="1"/>
  <c r="L351" i="1"/>
  <c r="L614" i="1"/>
  <c r="C85" i="2"/>
  <c r="C91" i="2" s="1"/>
  <c r="H661" i="1"/>
  <c r="C21" i="10"/>
  <c r="C12" i="10"/>
  <c r="D5" i="13"/>
  <c r="C5" i="13" s="1"/>
  <c r="K500" i="1"/>
  <c r="G661" i="1"/>
  <c r="K338" i="1"/>
  <c r="K352" i="1" s="1"/>
  <c r="H52" i="1"/>
  <c r="H619" i="1" s="1"/>
  <c r="J619" i="1" s="1"/>
  <c r="C35" i="10"/>
  <c r="G649" i="1"/>
  <c r="J649" i="1" s="1"/>
  <c r="L524" i="1"/>
  <c r="J338" i="1"/>
  <c r="J352" i="1" s="1"/>
  <c r="C124" i="2"/>
  <c r="C120" i="2"/>
  <c r="I52" i="1"/>
  <c r="H620" i="1" s="1"/>
  <c r="J620" i="1" s="1"/>
  <c r="C32" i="10"/>
  <c r="K551" i="1"/>
  <c r="E81" i="2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G104" i="2" s="1"/>
  <c r="J618" i="1"/>
  <c r="G42" i="2"/>
  <c r="G50" i="2" s="1"/>
  <c r="J51" i="1"/>
  <c r="G16" i="2"/>
  <c r="J19" i="1"/>
  <c r="G621" i="1" s="1"/>
  <c r="G18" i="2"/>
  <c r="F545" i="1"/>
  <c r="H434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I663" i="1"/>
  <c r="C27" i="10"/>
  <c r="K552" i="1" l="1"/>
  <c r="G51" i="2"/>
  <c r="J642" i="1"/>
  <c r="L408" i="1"/>
  <c r="C141" i="2"/>
  <c r="C144" i="2" s="1"/>
  <c r="E145" i="2"/>
  <c r="L257" i="1"/>
  <c r="L271" i="1" s="1"/>
  <c r="G632" i="1" s="1"/>
  <c r="J632" i="1" s="1"/>
  <c r="E33" i="13"/>
  <c r="D35" i="13" s="1"/>
  <c r="H664" i="1"/>
  <c r="H672" i="1" s="1"/>
  <c r="C6" i="10" s="1"/>
  <c r="F660" i="1"/>
  <c r="F664" i="1" s="1"/>
  <c r="F672" i="1" s="1"/>
  <c r="C4" i="10" s="1"/>
  <c r="C28" i="10"/>
  <c r="D25" i="10" s="1"/>
  <c r="C104" i="2"/>
  <c r="E104" i="2"/>
  <c r="G664" i="1"/>
  <c r="C36" i="10"/>
  <c r="F193" i="1"/>
  <c r="G627" i="1" s="1"/>
  <c r="J627" i="1" s="1"/>
  <c r="D31" i="13"/>
  <c r="C31" i="13" s="1"/>
  <c r="L545" i="1"/>
  <c r="C25" i="13"/>
  <c r="H33" i="13"/>
  <c r="L338" i="1"/>
  <c r="L352" i="1" s="1"/>
  <c r="G633" i="1" s="1"/>
  <c r="J633" i="1" s="1"/>
  <c r="C128" i="2"/>
  <c r="I661" i="1"/>
  <c r="H648" i="1"/>
  <c r="J648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37" i="1" l="1"/>
  <c r="J637" i="1" s="1"/>
  <c r="H646" i="1"/>
  <c r="J646" i="1" s="1"/>
  <c r="C145" i="2"/>
  <c r="H667" i="1"/>
  <c r="I660" i="1"/>
  <c r="I664" i="1" s="1"/>
  <c r="I672" i="1" s="1"/>
  <c r="C7" i="10" s="1"/>
  <c r="F667" i="1"/>
  <c r="D15" i="10"/>
  <c r="D11" i="10"/>
  <c r="D17" i="10"/>
  <c r="D21" i="10"/>
  <c r="D27" i="10"/>
  <c r="D16" i="10"/>
  <c r="D10" i="10"/>
  <c r="D19" i="10"/>
  <c r="D13" i="10"/>
  <c r="D22" i="10"/>
  <c r="D26" i="10"/>
  <c r="D24" i="10"/>
  <c r="D18" i="10"/>
  <c r="D12" i="10"/>
  <c r="C30" i="10"/>
  <c r="D23" i="10"/>
  <c r="D20" i="10"/>
  <c r="G672" i="1"/>
  <c r="C5" i="10" s="1"/>
  <c r="G667" i="1"/>
  <c r="D33" i="13"/>
  <c r="D36" i="13" s="1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<sst xmlns="http://schemas.openxmlformats.org/spreadsheetml/2006/main" count="3955" uniqueCount="913">
  <si>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</si>
  <si>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</si>
  <si>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</si>
  <si>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</si>
  <si>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</si>
  <si>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</si>
  <si>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</si>
  <si>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</si>
  <si>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</si>
  <si>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</si>
  <si>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</si>
  <si>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</si>
  <si>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</si>
  <si>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</si>
  <si>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</si>
  <si>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</si>
  <si>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</si>
  <si>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</si>
  <si>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</si>
  <si>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</si>
  <si>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</si>
  <si>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</si>
  <si>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</si>
  <si>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</si>
  <si>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</si>
  <si>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</si>
  <si>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</si>
  <si>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</si>
  <si>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</si>
  <si>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</si>
  <si>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</si>
  <si>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</si>
  <si>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</si>
  <si>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</si>
  <si>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</si>
  <si>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</si>
  <si>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</si>
  <si>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</si>
  <si>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</si>
  <si>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</si>
  <si>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</si>
  <si>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</si>
  <si>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</si>
  <si>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</si>
  <si>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</si>
  <si>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</si>
  <si>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</si>
  <si>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</si>
  <si>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</si>
  <si>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</si>
  <si>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</si>
  <si>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</si>
  <si>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</si>
  <si>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</si>
  <si>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</si>
  <si>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</si>
  <si>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</si>
  <si>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</si>
  <si>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</si>
  <si>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</si>
  <si>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</si>
  <si>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</si>
  <si>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</si>
  <si>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</si>
  <si>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</si>
  <si>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</si>
  <si>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</si>
  <si>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</si>
  <si>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</si>
  <si>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</si>
  <si>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</si>
  <si>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</si>
  <si>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</si>
  <si>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</si>
  <si>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</si>
  <si>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</si>
  <si>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</si>
  <si>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</si>
  <si>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</si>
  <si>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</si>
  <si>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</si>
  <si>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</si>
  <si>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</si>
  <si>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</si>
  <si>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</si>
  <si>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</si>
  <si>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</si>
  <si>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</si>
  <si>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</si>
  <si>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</si>
  <si>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</si>
  <si>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</si>
  <si>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</si>
  <si>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</si>
  <si>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</si>
  <si>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</si>
  <si>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</si>
  <si>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</si>
  <si>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</si>
  <si>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</si>
  <si>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</si>
  <si>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</si>
  <si>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</si>
  <si>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</si>
  <si>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</si>
  <si>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</si>
  <si>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</si>
  <si>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</si>
  <si>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</si>
  <si>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</si>
  <si>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</si>
  <si>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</si>
  <si>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</si>
  <si>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</si>
  <si>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</si>
  <si>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</si>
  <si>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</si>
  <si>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</si>
  <si>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</si>
  <si>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</si>
  <si>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</si>
  <si>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</si>
  <si>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</si>
  <si>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</si>
  <si>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</si>
  <si>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</si>
  <si>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</si>
  <si>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</si>
  <si>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</si>
  <si>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</si>
  <si>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</si>
  <si>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</si>
  <si>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</si>
  <si>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</si>
  <si>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</si>
  <si>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</si>
  <si>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</si>
  <si>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</si>
  <si>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</si>
  <si>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</si>
  <si>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</si>
  <si>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</si>
  <si>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</si>
  <si>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</si>
  <si>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</si>
  <si>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</si>
  <si>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</si>
  <si>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</si>
  <si>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</si>
  <si>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</si>
  <si>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</si>
  <si>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</si>
  <si>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</si>
  <si>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</si>
  <si>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</si>
  <si>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</si>
  <si>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</si>
  <si>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</si>
  <si>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</si>
  <si>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</si>
  <si>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</si>
  <si>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</si>
  <si>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</si>
  <si>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</si>
  <si>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</si>
  <si>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</si>
  <si>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</si>
  <si>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</si>
  <si>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</si>
  <si>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</si>
  <si>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</si>
  <si>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</si>
  <si>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</si>
  <si>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</si>
  <si>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</si>
  <si>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</si>
  <si>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</si>
  <si>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</si>
  <si>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</si>
  <si>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</si>
  <si>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</si>
  <si>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</si>
  <si>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</si>
  <si>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</si>
  <si>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</si>
  <si>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</si>
  <si>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</si>
  <si>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</si>
  <si>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</si>
  <si>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</si>
  <si>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</si>
  <si>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</si>
  <si>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</si>
  <si>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</si>
  <si>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</si>
  <si>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</si>
  <si>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</si>
  <si>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</si>
  <si>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</si>
  <si>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</si>
  <si>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</si>
  <si>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</si>
  <si>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</si>
  <si>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</si>
  <si>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</si>
  <si>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</si>
  <si>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</si>
  <si>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</si>
  <si>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</si>
  <si>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</si>
  <si>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</si>
  <si>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</si>
  <si>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</si>
  <si>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</si>
  <si>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</si>
  <si>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</si>
  <si>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</si>
  <si>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</si>
  <si>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</si>
  <si>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</si>
  <si>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</si>
  <si>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</si>
  <si>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</si>
  <si>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</si>
  <si>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</si>
  <si>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</si>
  <si>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</si>
  <si>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</si>
  <si>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</si>
  <si>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</si>
  <si>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</si>
  <si>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</si>
  <si>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</si>
  <si>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</si>
  <si>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</si>
  <si>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</si>
  <si>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</si>
  <si>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</si>
  <si>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</si>
  <si>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</si>
  <si>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</si>
  <si>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</si>
  <si>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</si>
  <si>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</si>
  <si>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</si>
  <si>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</si>
  <si>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</si>
  <si>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</si>
  <si>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</si>
  <si>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</si>
  <si>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</si>
  <si>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</si>
  <si>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</si>
  <si>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</si>
  <si>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</si>
  <si>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</si>
  <si>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</si>
  <si>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</si>
  <si>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</si>
  <si>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</si>
  <si>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</si>
  <si>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</si>
  <si>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</si>
  <si>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</si>
  <si>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</si>
  <si>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</si>
  <si>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</si>
  <si>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</si>
  <si>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</si>
  <si>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</si>
  <si>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</si>
  <si>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</si>
  <si>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</si>
  <si>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</si>
  <si>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</si>
  <si>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</si>
  <si>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</si>
  <si>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</si>
  <si>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</si>
  <si>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</si>
  <si>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</si>
  <si>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</si>
  <si>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</si>
  <si>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</si>
  <si>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</si>
  <si>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</si>
  <si>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</si>
  <si>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</si>
  <si>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</si>
  <si>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</si>
  <si>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</si>
  <si>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</si>
  <si>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</si>
  <si>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</si>
  <si>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</si>
  <si>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</si>
  <si>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</si>
  <si>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</si>
  <si>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</si>
  <si>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</si>
  <si>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</si>
  <si>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</si>
  <si>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</si>
  <si>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</si>
  <si>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</si>
  <si>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</si>
  <si>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</si>
  <si>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</si>
  <si>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</si>
  <si>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</si>
  <si>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</si>
  <si>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</si>
  <si>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</si>
  <si>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</si>
  <si>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</si>
  <si>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</si>
  <si>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</si>
  <si>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</si>
  <si>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</si>
  <si>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</si>
  <si>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</si>
  <si>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</si>
  <si>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</si>
  <si>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</si>
  <si>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</si>
  <si>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</si>
  <si>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</si>
  <si>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</si>
  <si>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</si>
  <si>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</si>
  <si>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</si>
  <si>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</si>
  <si>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</si>
  <si>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</si>
  <si>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</si>
  <si>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</si>
  <si>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</si>
  <si>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</si>
  <si>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</si>
  <si>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</si>
  <si>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</si>
  <si>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</si>
  <si>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</si>
  <si>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</si>
  <si>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</si>
  <si>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</si>
  <si>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</si>
  <si>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</si>
  <si>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</si>
  <si>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</si>
  <si>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</si>
  <si>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</si>
  <si>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</si>
  <si>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</si>
  <si>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</si>
  <si>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</si>
  <si>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</si>
  <si>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</si>
  <si>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</si>
  <si>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</si>
  <si>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</si>
  <si>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</si>
  <si>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</si>
  <si>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</si>
  <si>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</si>
  <si>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</si>
  <si>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</si>
  <si>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</si>
  <si>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</si>
  <si>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</si>
  <si>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</si>
  <si>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</si>
  <si>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</si>
  <si>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</si>
  <si>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</si>
  <si>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</si>
  <si>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</si>
  <si>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</si>
  <si>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</si>
  <si>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</si>
  <si>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</si>
  <si>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</si>
  <si>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</si>
  <si>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</si>
  <si>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</si>
  <si>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</si>
  <si>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</si>
  <si>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</si>
  <si>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</si>
  <si>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</si>
  <si>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</si>
  <si>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</si>
  <si>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</si>
  <si>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</si>
  <si>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</si>
  <si>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</si>
  <si>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</si>
  <si>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</si>
  <si>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</si>
  <si>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</si>
  <si>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</si>
  <si>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</si>
  <si>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</si>
  <si>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</si>
  <si>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</si>
  <si>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</si>
  <si>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</si>
  <si>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</si>
  <si>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</si>
  <si>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</si>
  <si>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</si>
  <si>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</si>
  <si>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</si>
  <si>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</si>
  <si>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</si>
  <si>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</si>
  <si>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</si>
  <si>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</si>
  <si>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</si>
  <si>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</si>
  <si>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</si>
  <si>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</si>
  <si>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</si>
  <si>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</si>
  <si>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</si>
  <si>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</si>
  <si>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</si>
  <si>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</si>
  <si>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</si>
  <si>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</si>
  <si>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</si>
  <si>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</si>
  <si>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</si>
  <si>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</si>
  <si>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</si>
  <si>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</si>
  <si>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</si>
  <si>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</si>
  <si>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</si>
  <si>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</si>
  <si>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</si>
  <si>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</si>
  <si>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</si>
  <si>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</si>
  <si>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</si>
  <si>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</si>
  <si>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</si>
  <si>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</si>
  <si>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</si>
  <si>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</si>
  <si>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</si>
  <si>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</si>
  <si>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</si>
  <si>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</si>
  <si>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</si>
  <si>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</si>
  <si>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</si>
  <si>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</si>
  <si>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</si>
  <si>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</si>
  <si>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</si>
  <si>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</si>
  <si>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</si>
  <si>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</si>
  <si>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</si>
  <si>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</si>
  <si>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</si>
  <si>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</si>
  <si>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</si>
  <si>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</si>
  <si>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</si>
  <si>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</si>
  <si>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</si>
  <si>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</si>
  <si>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</si>
  <si>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</si>
  <si>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</si>
  <si>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</si>
  <si>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</si>
  <si>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</si>
  <si>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</si>
  <si>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</si>
  <si>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</si>
  <si>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</si>
  <si>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</si>
  <si>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</si>
  <si>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</si>
  <si>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</si>
  <si>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</si>
  <si>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</si>
  <si>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</si>
  <si>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</si>
  <si>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</si>
  <si>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</si>
  <si>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</si>
  <si>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</si>
  <si>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</si>
  <si>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</si>
  <si>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</si>
  <si>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</si>
  <si>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</si>
  <si>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</si>
  <si>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</si>
  <si>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</si>
  <si>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</si>
  <si>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</si>
  <si>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</si>
  <si>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</si>
  <si>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</si>
  <si>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</si>
  <si>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</si>
  <si>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</si>
  <si>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</si>
  <si>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</si>
  <si>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</si>
  <si>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</si>
  <si>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</si>
  <si>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</si>
  <si>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</si>
  <si>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</si>
  <si>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</si>
  <si>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</si>
  <si>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</si>
  <si>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</si>
  <si>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</si>
  <si>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</si>
  <si>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</si>
  <si>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</si>
  <si>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</si>
  <si>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</si>
  <si>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</si>
  <si>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</si>
  <si>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</si>
  <si>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</si>
  <si>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</si>
  <si>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</si>
  <si>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</si>
  <si>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</si>
  <si>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</si>
  <si>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</si>
  <si>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</si>
  <si>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</si>
  <si>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</si>
  <si>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</si>
  <si>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</si>
  <si>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</si>
  <si>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</si>
  <si>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</si>
  <si>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</si>
  <si>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</si>
  <si>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</si>
  <si>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</si>
  <si>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</si>
  <si>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</si>
  <si>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</si>
  <si>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</si>
  <si>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</si>
  <si>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</si>
  <si>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</si>
  <si>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</si>
  <si>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</si>
  <si>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</si>
  <si>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</si>
  <si>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</si>
  <si>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</si>
  <si>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</si>
  <si>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</si>
  <si>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</si>
  <si>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</si>
  <si>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</si>
  <si>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</si>
  <si>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</si>
  <si>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</si>
  <si>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</si>
  <si>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</si>
  <si>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</si>
  <si>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</si>
  <si>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</si>
  <si>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</si>
  <si>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</si>
  <si>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</si>
  <si>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</si>
  <si>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</si>
  <si>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</si>
  <si>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</si>
  <si>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</si>
  <si>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</si>
  <si>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</si>
  <si>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</si>
  <si>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</si>
  <si>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</si>
  <si>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</si>
  <si>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</si>
  <si>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</si>
  <si>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</si>
  <si>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</si>
  <si>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</si>
  <si>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</si>
  <si>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</si>
  <si>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</si>
  <si>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</si>
  <si>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</si>
  <si>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</si>
  <si>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</si>
  <si>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</si>
  <si>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</si>
  <si>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</si>
  <si>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</si>
  <si>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</si>
  <si>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</si>
  <si>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</si>
  <si>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</si>
  <si>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</si>
  <si>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</si>
  <si>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</si>
  <si>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</si>
  <si>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</si>
  <si>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</si>
  <si>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</si>
  <si>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</si>
  <si>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</si>
  <si>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</si>
  <si>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</si>
  <si>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</si>
  <si>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</si>
  <si>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</si>
  <si>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</si>
  <si>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</si>
  <si>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</si>
  <si>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</si>
  <si>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</si>
  <si>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</si>
  <si>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</si>
  <si>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</si>
  <si>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</si>
  <si>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</si>
  <si>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</si>
  <si>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</si>
  <si>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</si>
  <si>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</si>
  <si>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</si>
  <si>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</si>
  <si>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</si>
  <si>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</si>
  <si>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</si>
  <si>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</si>
  <si>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</si>
  <si>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</si>
  <si>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</si>
  <si>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</si>
  <si>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</si>
  <si>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</si>
  <si>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</si>
  <si>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</si>
  <si>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</si>
  <si>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</si>
  <si>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</si>
  <si>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</si>
  <si>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</si>
  <si>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</si>
  <si>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</si>
  <si>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</si>
  <si>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</si>
  <si>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</si>
  <si>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</si>
  <si>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</si>
  <si>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</si>
  <si>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</si>
  <si>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</si>
  <si>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</si>
  <si>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</si>
  <si>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</si>
  <si>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</si>
  <si>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</si>
  <si>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</si>
  <si>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</si>
  <si>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</si>
  <si>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</si>
  <si>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</si>
  <si>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</si>
  <si>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</si>
  <si>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</si>
  <si>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</si>
  <si>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</si>
  <si>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</si>
  <si>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</si>
  <si>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</si>
  <si>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</si>
  <si>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</si>
  <si>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</si>
  <si>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</si>
  <si>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</si>
  <si>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</si>
  <si>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</si>
  <si>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</si>
  <si>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</si>
  <si>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</si>
  <si>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</si>
  <si>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</si>
  <si>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</si>
  <si>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</si>
  <si>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</si>
  <si>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</si>
  <si>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</si>
  <si>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</si>
  <si>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</si>
  <si>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</si>
  <si>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</si>
  <si>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</si>
  <si>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</si>
  <si>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</si>
  <si>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</si>
  <si>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</si>
  <si>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</si>
  <si>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</si>
  <si>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</si>
  <si>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</si>
  <si>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</si>
  <si>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</si>
  <si>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</si>
  <si>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</si>
  <si>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</si>
  <si>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</si>
  <si>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</si>
  <si>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</si>
  <si>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</si>
  <si>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</si>
  <si>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</si>
  <si>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</si>
  <si>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</si>
  <si>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</si>
  <si>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</si>
  <si>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</si>
  <si>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</si>
  <si>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</si>
  <si>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</si>
  <si>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</si>
  <si>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</si>
  <si>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</si>
  <si>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</si>
  <si>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</si>
  <si>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</si>
  <si>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</si>
  <si>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</si>
  <si>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</si>
  <si>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</si>
  <si>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</si>
  <si>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</si>
  <si>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</si>
  <si>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</si>
  <si>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</si>
  <si>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</si>
  <si>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</si>
  <si>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</si>
  <si>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</si>
  <si>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</si>
  <si>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</si>
  <si>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</si>
  <si>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</si>
  <si>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</si>
  <si>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</si>
  <si>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</si>
  <si>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</si>
  <si>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</si>
  <si>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</si>
  <si>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</si>
  <si>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</si>
  <si>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</si>
  <si>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</si>
  <si>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</si>
  <si>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</si>
  <si>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</si>
  <si>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</si>
  <si>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</si>
  <si>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</si>
  <si>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</si>
  <si>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</si>
  <si>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</si>
  <si>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</si>
  <si>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</si>
  <si>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</si>
  <si>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</si>
  <si>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</si>
  <si>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</si>
  <si>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</si>
  <si>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</si>
  <si>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</si>
  <si>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</si>
  <si>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</si>
  <si>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</si>
  <si>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</si>
  <si>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</si>
  <si>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</si>
  <si>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</si>
  <si>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</si>
  <si>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</si>
  <si>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</si>
  <si>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</si>
  <si>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</si>
  <si>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</si>
  <si>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</si>
  <si>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</si>
  <si>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</si>
  <si>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</si>
  <si>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</si>
  <si>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</si>
  <si>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</si>
  <si>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</si>
  <si>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</si>
  <si>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</si>
  <si>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</si>
  <si>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</si>
  <si>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</si>
  <si>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</si>
  <si>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</si>
  <si>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</si>
  <si>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</si>
  <si>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</si>
  <si>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</si>
  <si>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</si>
  <si>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</si>
  <si>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</si>
  <si>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</si>
  <si>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</si>
  <si>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</si>
  <si>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</si>
  <si>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</si>
  <si>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</si>
  <si>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</si>
  <si>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</si>
  <si>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</si>
  <si>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</si>
  <si>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</si>
  <si>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</si>
  <si>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</si>
  <si>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</si>
  <si>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</si>
  <si>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</si>
  <si>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</si>
  <si>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</si>
  <si>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</si>
  <si>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</si>
  <si>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</si>
  <si>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</si>
  <si>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</si>
  <si>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</si>
  <si>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</si>
  <si>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</si>
  <si>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</si>
  <si>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</si>
  <si>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</si>
  <si>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</si>
  <si>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</si>
  <si>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</si>
  <si>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</si>
  <si>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</si>
  <si>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</si>
  <si>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</si>
  <si>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</si>
  <si>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</si>
  <si>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</si>
  <si>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</si>
  <si>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</si>
  <si>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</si>
  <si>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</si>
  <si>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</si>
  <si>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</si>
  <si>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</si>
  <si>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</si>
  <si>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</si>
  <si>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</si>
  <si>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</si>
  <si>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</si>
  <si>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</si>
  <si>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</si>
  <si>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</si>
  <si>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</si>
  <si>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</si>
  <si>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</si>
  <si>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</si>
  <si>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</si>
  <si>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</si>
  <si>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</si>
  <si>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</si>
  <si>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</si>
  <si>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</si>
  <si>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</si>
  <si>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</si>
  <si>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</si>
  <si>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</si>
  <si>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</si>
  <si>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</si>
  <si>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</si>
  <si>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</si>
  <si>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</si>
  <si>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</si>
  <si>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</si>
  <si>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</si>
  <si>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</si>
  <si>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</si>
  <si>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</si>
  <si>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</si>
  <si>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</si>
  <si>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</si>
  <si>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</si>
  <si>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</si>
  <si>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</si>
  <si>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</si>
  <si>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</si>
  <si>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</si>
  <si>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</si>
  <si>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</si>
  <si>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 xml:space="preserve">                 BARTLETT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</si>
</sst>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5" sqref="F4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35</v>
      </c>
      <c r="C2" s="21">
        <v>35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208760.11+300</f>
        <v>209060.11</v>
      </c>
      <c r="G9" s="18">
        <v>47117.87</v>
      </c>
      <c r="H9" s="18">
        <v>0</v>
      </c>
      <c r="I9" s="18"/>
      <c r="J9" s="67">
        <f>SUM(I439)</f>
        <v>217487.69999999998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122849.81</v>
      </c>
      <c r="G12" s="18">
        <v>27591.72</v>
      </c>
      <c r="H12" s="18">
        <v>0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555.98+144.98</f>
        <v>700.96</v>
      </c>
      <c r="G13" s="18">
        <v>11565.79</v>
      </c>
      <c r="H13" s="18">
        <v>36921.57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957.3</v>
      </c>
      <c r="G14" s="18">
        <v>0</v>
      </c>
      <c r="H14" s="18">
        <v>0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>
        <v>315</v>
      </c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333568.18</v>
      </c>
      <c r="G19" s="41">
        <f>SUM(G9:G18)</f>
        <v>86590.38</v>
      </c>
      <c r="H19" s="41">
        <f>SUM(H9:H18)</f>
        <v>36921.57</v>
      </c>
      <c r="I19" s="41">
        <f>SUM(I9:I18)</f>
        <v>0</v>
      </c>
      <c r="J19" s="41">
        <f>SUM(J9:J18)</f>
        <v>217487.69999999998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85757.58</v>
      </c>
      <c r="H22" s="18">
        <v>34713.550000000003</v>
      </c>
      <c r="I22" s="18"/>
      <c r="J22" s="67">
        <f>SUM(I448)</f>
        <v>2378.6799999999998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56799.19</v>
      </c>
      <c r="G24" s="18">
        <v>315</v>
      </c>
      <c r="H24" s="18">
        <v>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4388.83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24497.19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85685.21</v>
      </c>
      <c r="G32" s="41">
        <f>SUM(G22:G31)</f>
        <v>86072.58</v>
      </c>
      <c r="H32" s="41">
        <f>SUM(H22:H31)</f>
        <v>34713.550000000003</v>
      </c>
      <c r="I32" s="41">
        <f>SUM(I22:I31)</f>
        <v>0</v>
      </c>
      <c r="J32" s="41">
        <f>SUM(J22:J31)</f>
        <v>2378.6799999999998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517.79999999999995</v>
      </c>
      <c r="H48" s="18">
        <v>2208.02</v>
      </c>
      <c r="I48" s="18"/>
      <c r="J48" s="13">
        <f>SUM(I459)</f>
        <v>215109.02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247882.97-25000</f>
        <v>222882.97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247882.97</v>
      </c>
      <c r="G51" s="41">
        <f>SUM(G35:G50)</f>
        <v>517.79999999999995</v>
      </c>
      <c r="H51" s="41">
        <f>SUM(H35:H50)</f>
        <v>2208.02</v>
      </c>
      <c r="I51" s="41">
        <f>SUM(I35:I50)</f>
        <v>0</v>
      </c>
      <c r="J51" s="41">
        <f>SUM(J35:J50)</f>
        <v>215109.02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333568.18</v>
      </c>
      <c r="G52" s="41">
        <f>G51+G32</f>
        <v>86590.38</v>
      </c>
      <c r="H52" s="41">
        <f>H51+H32</f>
        <v>36921.57</v>
      </c>
      <c r="I52" s="41">
        <f>I51+I32</f>
        <v>0</v>
      </c>
      <c r="J52" s="41">
        <f>J51+J32</f>
        <v>217487.69999999998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3874238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3874238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335592.36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335592.36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180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180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5.57</v>
      </c>
      <c r="H96" s="18"/>
      <c r="I96" s="18"/>
      <c r="J96" s="18">
        <v>239.8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64323.89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2842.24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33063.14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74486.850000000006</v>
      </c>
      <c r="G110" s="18"/>
      <c r="H110" s="18">
        <v>3130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110392.23000000001</v>
      </c>
      <c r="G111" s="41">
        <f>SUM(G96:G110)</f>
        <v>64329.46</v>
      </c>
      <c r="H111" s="41">
        <f>SUM(H96:H110)</f>
        <v>3130</v>
      </c>
      <c r="I111" s="41">
        <f>SUM(I96:I110)</f>
        <v>0</v>
      </c>
      <c r="J111" s="41">
        <f>SUM(J96:J110)</f>
        <v>239.8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4320402.5900000008</v>
      </c>
      <c r="G112" s="41">
        <f>G60+G111</f>
        <v>64329.46</v>
      </c>
      <c r="H112" s="41">
        <f>H60+H79+H94+H111</f>
        <v>3130</v>
      </c>
      <c r="I112" s="41">
        <f>I60+I111</f>
        <v>0</v>
      </c>
      <c r="J112" s="41">
        <f>J60+J111</f>
        <v>239.8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18308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2268711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2287019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26044.54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1142.82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26044.54</v>
      </c>
      <c r="G136" s="41">
        <f>SUM(G123:G135)</f>
        <v>1142.82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2313063.54</v>
      </c>
      <c r="G140" s="41">
        <f>G121+SUM(G136:G137)</f>
        <v>1142.82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2962.23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72555.210000000006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26653.47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47846.12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64831.07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53153.47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53153.47</v>
      </c>
      <c r="G162" s="41">
        <f>SUM(G150:G161)</f>
        <v>47846.12</v>
      </c>
      <c r="H162" s="41">
        <f>SUM(H150:H161)</f>
        <v>167001.98000000001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16570.71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69724.179999999993</v>
      </c>
      <c r="G169" s="41">
        <f>G147+G162+SUM(G163:G168)</f>
        <v>47846.12</v>
      </c>
      <c r="H169" s="41">
        <f>H147+H162+SUM(H163:H168)</f>
        <v>167001.98000000001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27591.72</v>
      </c>
      <c r="H179" s="18"/>
      <c r="I179" s="18"/>
      <c r="J179" s="18">
        <v>40000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27591.72</v>
      </c>
      <c r="H183" s="41">
        <f>SUM(H179:H182)</f>
        <v>0</v>
      </c>
      <c r="I183" s="41">
        <f>SUM(I179:I182)</f>
        <v>0</v>
      </c>
      <c r="J183" s="41">
        <f>SUM(J179:J182)</f>
        <v>40000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2378.6799999999998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2378.6799999999998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2378.6799999999998</v>
      </c>
      <c r="G192" s="41">
        <f>G183+SUM(G188:G191)</f>
        <v>27591.72</v>
      </c>
      <c r="H192" s="41">
        <f>+H183+SUM(H188:H191)</f>
        <v>0</v>
      </c>
      <c r="I192" s="41">
        <f>I177+I183+SUM(I188:I191)</f>
        <v>0</v>
      </c>
      <c r="J192" s="41">
        <f>J183</f>
        <v>40000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6705568.9900000002</v>
      </c>
      <c r="G193" s="47">
        <f>G112+G140+G169+G192</f>
        <v>140910.12</v>
      </c>
      <c r="H193" s="47">
        <f>H112+H140+H169+H192</f>
        <v>170131.98</v>
      </c>
      <c r="I193" s="47">
        <f>I112+I140+I169+I192</f>
        <v>0</v>
      </c>
      <c r="J193" s="47">
        <f>J112+J140+J192</f>
        <v>40239.800000000003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1344428.29</v>
      </c>
      <c r="G197" s="18">
        <v>628609.25</v>
      </c>
      <c r="H197" s="18">
        <v>19767.439999999999</v>
      </c>
      <c r="I197" s="18">
        <v>39148.14</v>
      </c>
      <c r="J197" s="18">
        <v>16095</v>
      </c>
      <c r="K197" s="18"/>
      <c r="L197" s="19">
        <f>SUM(F197:K197)</f>
        <v>2048048.1199999999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522412.44</v>
      </c>
      <c r="G198" s="18">
        <v>288023.63</v>
      </c>
      <c r="H198" s="18">
        <v>64068.98</v>
      </c>
      <c r="I198" s="18"/>
      <c r="J198" s="18"/>
      <c r="K198" s="18"/>
      <c r="L198" s="19">
        <f>SUM(F198:K198)</f>
        <v>874505.05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53644</v>
      </c>
      <c r="G200" s="18">
        <v>10809.83</v>
      </c>
      <c r="H200" s="18">
        <v>30654.720000000001</v>
      </c>
      <c r="I200" s="18">
        <v>3388.55</v>
      </c>
      <c r="J200" s="18">
        <v>400</v>
      </c>
      <c r="K200" s="18"/>
      <c r="L200" s="19">
        <f>SUM(F200:K200)</f>
        <v>98897.1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243441.42</v>
      </c>
      <c r="G202" s="18">
        <v>102060.92</v>
      </c>
      <c r="H202" s="18">
        <v>42917.5</v>
      </c>
      <c r="I202" s="18">
        <v>586.54</v>
      </c>
      <c r="J202" s="18"/>
      <c r="K202" s="18"/>
      <c r="L202" s="19">
        <f t="shared" ref="L202:L208" si="0">SUM(F202:K202)</f>
        <v>389006.38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46300</v>
      </c>
      <c r="G203" s="18">
        <v>27112.18</v>
      </c>
      <c r="H203" s="18">
        <v>23563.119999999999</v>
      </c>
      <c r="I203" s="18">
        <v>6818.17</v>
      </c>
      <c r="J203" s="18"/>
      <c r="K203" s="18"/>
      <c r="L203" s="19">
        <f t="shared" si="0"/>
        <v>103793.46999999999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9069.4</v>
      </c>
      <c r="G204" s="18">
        <v>693.78</v>
      </c>
      <c r="H204" s="18">
        <v>202433.65</v>
      </c>
      <c r="I204" s="18"/>
      <c r="J204" s="18"/>
      <c r="K204" s="18">
        <v>1915.6</v>
      </c>
      <c r="L204" s="19">
        <f t="shared" si="0"/>
        <v>214112.43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178857.18</v>
      </c>
      <c r="G205" s="18">
        <v>102984.72</v>
      </c>
      <c r="H205" s="18">
        <v>14252.98</v>
      </c>
      <c r="I205" s="18">
        <v>7751.53</v>
      </c>
      <c r="J205" s="18">
        <v>2740.79</v>
      </c>
      <c r="K205" s="18">
        <v>1579.89</v>
      </c>
      <c r="L205" s="19">
        <f t="shared" si="0"/>
        <v>308167.09000000003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131029.84</v>
      </c>
      <c r="G207" s="18">
        <v>70733.929999999993</v>
      </c>
      <c r="H207" s="18">
        <v>100007.74</v>
      </c>
      <c r="I207" s="18">
        <v>117299.52</v>
      </c>
      <c r="J207" s="18">
        <v>2209.9899999999998</v>
      </c>
      <c r="K207" s="18"/>
      <c r="L207" s="19">
        <f t="shared" si="0"/>
        <v>421281.02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69996.539999999994</v>
      </c>
      <c r="G208" s="18">
        <v>44969.98</v>
      </c>
      <c r="H208" s="18">
        <v>8863.76</v>
      </c>
      <c r="I208" s="18">
        <v>32233.040000000001</v>
      </c>
      <c r="J208" s="18">
        <v>2390.4</v>
      </c>
      <c r="K208" s="18"/>
      <c r="L208" s="19">
        <f t="shared" si="0"/>
        <v>158453.71999999997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134.13</v>
      </c>
      <c r="I209" s="18"/>
      <c r="J209" s="18"/>
      <c r="K209" s="18"/>
      <c r="L209" s="19">
        <f>SUM(F209:K209)</f>
        <v>134.13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2599179.11</v>
      </c>
      <c r="G211" s="41">
        <f t="shared" si="1"/>
        <v>1275998.22</v>
      </c>
      <c r="H211" s="41">
        <f t="shared" si="1"/>
        <v>506664.02</v>
      </c>
      <c r="I211" s="41">
        <f t="shared" si="1"/>
        <v>207225.49000000002</v>
      </c>
      <c r="J211" s="41">
        <f t="shared" si="1"/>
        <v>23836.18</v>
      </c>
      <c r="K211" s="41">
        <f t="shared" si="1"/>
        <v>3495.49</v>
      </c>
      <c r="L211" s="41">
        <f t="shared" si="1"/>
        <v>4616398.51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1935769</v>
      </c>
      <c r="I233" s="18"/>
      <c r="J233" s="18"/>
      <c r="K233" s="18"/>
      <c r="L233" s="19">
        <f>SUM(F233:K233)</f>
        <v>1935769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67728.679999999993</v>
      </c>
      <c r="I234" s="18"/>
      <c r="J234" s="18"/>
      <c r="K234" s="18"/>
      <c r="L234" s="19">
        <f>SUM(F234:K234)</f>
        <v>67728.679999999993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11847.24</v>
      </c>
      <c r="G238" s="18">
        <v>6738.62</v>
      </c>
      <c r="H238" s="18">
        <v>3675.16</v>
      </c>
      <c r="I238" s="18"/>
      <c r="J238" s="18"/>
      <c r="K238" s="18"/>
      <c r="L238" s="19">
        <f t="shared" ref="L238:L244" si="4">SUM(F238:K238)</f>
        <v>22261.02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4630.6000000000004</v>
      </c>
      <c r="G240" s="18">
        <v>354.22</v>
      </c>
      <c r="H240" s="18">
        <v>100916.22</v>
      </c>
      <c r="I240" s="18"/>
      <c r="J240" s="18"/>
      <c r="K240" s="18">
        <v>978.05</v>
      </c>
      <c r="L240" s="19">
        <f t="shared" si="4"/>
        <v>106879.09000000001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38286.44</v>
      </c>
      <c r="G244" s="18">
        <v>28778.06</v>
      </c>
      <c r="H244" s="18">
        <v>31144.17</v>
      </c>
      <c r="I244" s="18">
        <v>21488.69</v>
      </c>
      <c r="J244" s="18">
        <v>1593.6</v>
      </c>
      <c r="K244" s="18"/>
      <c r="L244" s="19">
        <f t="shared" si="4"/>
        <v>121290.96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89.42</v>
      </c>
      <c r="I245" s="18"/>
      <c r="J245" s="18"/>
      <c r="K245" s="18"/>
      <c r="L245" s="19">
        <f>SUM(F245:K245)</f>
        <v>89.42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54764.28</v>
      </c>
      <c r="G247" s="41">
        <f t="shared" si="5"/>
        <v>35870.9</v>
      </c>
      <c r="H247" s="41">
        <f t="shared" si="5"/>
        <v>2139322.65</v>
      </c>
      <c r="I247" s="41">
        <f t="shared" si="5"/>
        <v>21488.69</v>
      </c>
      <c r="J247" s="41">
        <f t="shared" si="5"/>
        <v>1593.6</v>
      </c>
      <c r="K247" s="41">
        <f t="shared" si="5"/>
        <v>978.05</v>
      </c>
      <c r="L247" s="41">
        <f t="shared" si="5"/>
        <v>2254018.17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2653943.3899999997</v>
      </c>
      <c r="G257" s="41">
        <f t="shared" si="8"/>
        <v>1311869.1199999999</v>
      </c>
      <c r="H257" s="41">
        <f t="shared" si="8"/>
        <v>2645986.67</v>
      </c>
      <c r="I257" s="41">
        <f t="shared" si="8"/>
        <v>228714.18000000002</v>
      </c>
      <c r="J257" s="41">
        <f t="shared" si="8"/>
        <v>25429.78</v>
      </c>
      <c r="K257" s="41">
        <f t="shared" si="8"/>
        <v>4473.54</v>
      </c>
      <c r="L257" s="41">
        <f t="shared" si="8"/>
        <v>6870416.6799999997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27591.72</v>
      </c>
      <c r="L263" s="19">
        <f>SUM(F263:K263)</f>
        <v>27591.72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40000</v>
      </c>
      <c r="L266" s="19">
        <f t="shared" si="9"/>
        <v>40000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67591.72</v>
      </c>
      <c r="L270" s="41">
        <f t="shared" si="9"/>
        <v>67591.72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2653943.3899999997</v>
      </c>
      <c r="G271" s="42">
        <f t="shared" si="11"/>
        <v>1311869.1199999999</v>
      </c>
      <c r="H271" s="42">
        <f t="shared" si="11"/>
        <v>2645986.67</v>
      </c>
      <c r="I271" s="42">
        <f t="shared" si="11"/>
        <v>228714.18000000002</v>
      </c>
      <c r="J271" s="42">
        <f t="shared" si="11"/>
        <v>25429.78</v>
      </c>
      <c r="K271" s="42">
        <f t="shared" si="11"/>
        <v>72065.259999999995</v>
      </c>
      <c r="L271" s="42">
        <f t="shared" si="11"/>
        <v>6938008.3999999994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34211.1</v>
      </c>
      <c r="G276" s="18">
        <v>24499.66</v>
      </c>
      <c r="H276" s="18">
        <v>0</v>
      </c>
      <c r="I276" s="18">
        <v>9598.24</v>
      </c>
      <c r="J276" s="18">
        <v>2380.96</v>
      </c>
      <c r="K276" s="18"/>
      <c r="L276" s="19">
        <f>SUM(F276:K276)</f>
        <v>70689.960000000006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18372.900000000001</v>
      </c>
      <c r="G277" s="18">
        <v>10833.31</v>
      </c>
      <c r="H277" s="18">
        <v>13068</v>
      </c>
      <c r="I277" s="18">
        <v>454.32</v>
      </c>
      <c r="J277" s="18">
        <v>7993.37</v>
      </c>
      <c r="K277" s="18"/>
      <c r="L277" s="19">
        <f>SUM(F277:K277)</f>
        <v>50721.9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3500</v>
      </c>
      <c r="G281" s="18">
        <v>283.76</v>
      </c>
      <c r="H281" s="18">
        <v>9862</v>
      </c>
      <c r="I281" s="18">
        <v>0</v>
      </c>
      <c r="J281" s="18">
        <v>0</v>
      </c>
      <c r="K281" s="18"/>
      <c r="L281" s="19">
        <f t="shared" ref="L281:L287" si="12">SUM(F281:K281)</f>
        <v>13645.76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6399.4</v>
      </c>
      <c r="G282" s="18">
        <v>1380.65</v>
      </c>
      <c r="H282" s="18">
        <v>25678.07</v>
      </c>
      <c r="I282" s="18">
        <v>1219.03</v>
      </c>
      <c r="J282" s="18">
        <v>0</v>
      </c>
      <c r="K282" s="18"/>
      <c r="L282" s="19">
        <f t="shared" si="12"/>
        <v>34677.149999999994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62483.4</v>
      </c>
      <c r="G290" s="42">
        <f t="shared" si="13"/>
        <v>36997.380000000005</v>
      </c>
      <c r="H290" s="42">
        <f t="shared" si="13"/>
        <v>48608.07</v>
      </c>
      <c r="I290" s="42">
        <f t="shared" si="13"/>
        <v>11271.59</v>
      </c>
      <c r="J290" s="42">
        <f t="shared" si="13"/>
        <v>10374.33</v>
      </c>
      <c r="K290" s="42">
        <f t="shared" si="13"/>
        <v>0</v>
      </c>
      <c r="L290" s="41">
        <f t="shared" si="13"/>
        <v>169734.77000000002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62483.4</v>
      </c>
      <c r="G338" s="41">
        <f t="shared" si="20"/>
        <v>36997.380000000005</v>
      </c>
      <c r="H338" s="41">
        <f t="shared" si="20"/>
        <v>48608.07</v>
      </c>
      <c r="I338" s="41">
        <f t="shared" si="20"/>
        <v>11271.59</v>
      </c>
      <c r="J338" s="41">
        <f t="shared" si="20"/>
        <v>10374.33</v>
      </c>
      <c r="K338" s="41">
        <f t="shared" si="20"/>
        <v>0</v>
      </c>
      <c r="L338" s="41">
        <f t="shared" si="20"/>
        <v>169734.77000000002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62483.4</v>
      </c>
      <c r="G352" s="41">
        <f>G338</f>
        <v>36997.380000000005</v>
      </c>
      <c r="H352" s="41">
        <f>H338</f>
        <v>48608.07</v>
      </c>
      <c r="I352" s="41">
        <f>I338</f>
        <v>11271.59</v>
      </c>
      <c r="J352" s="41">
        <f>J338</f>
        <v>10374.33</v>
      </c>
      <c r="K352" s="47">
        <f>K338+K351</f>
        <v>0</v>
      </c>
      <c r="L352" s="41">
        <f>L338+L351</f>
        <v>169734.77000000002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56706.78</v>
      </c>
      <c r="G358" s="18">
        <v>29050.799999999999</v>
      </c>
      <c r="H358" s="18">
        <v>2422.66</v>
      </c>
      <c r="I358" s="18">
        <v>52729.88</v>
      </c>
      <c r="J358" s="18"/>
      <c r="K358" s="18"/>
      <c r="L358" s="13">
        <f>SUM(F358:K358)</f>
        <v>140910.12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56706.78</v>
      </c>
      <c r="G362" s="47">
        <f t="shared" si="22"/>
        <v>29050.799999999999</v>
      </c>
      <c r="H362" s="47">
        <f t="shared" si="22"/>
        <v>2422.66</v>
      </c>
      <c r="I362" s="47">
        <f t="shared" si="22"/>
        <v>52729.88</v>
      </c>
      <c r="J362" s="47">
        <f t="shared" si="22"/>
        <v>0</v>
      </c>
      <c r="K362" s="47">
        <f t="shared" si="22"/>
        <v>0</v>
      </c>
      <c r="L362" s="47">
        <f t="shared" si="22"/>
        <v>140910.12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46944.43</v>
      </c>
      <c r="G367" s="18"/>
      <c r="H367" s="18"/>
      <c r="I367" s="56">
        <f>SUM(F367:H367)</f>
        <v>46944.43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5785.45</v>
      </c>
      <c r="G368" s="63"/>
      <c r="H368" s="63"/>
      <c r="I368" s="56">
        <f>SUM(F368:H368)</f>
        <v>5785.45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52729.88</v>
      </c>
      <c r="G369" s="47">
        <f>SUM(G367:G368)</f>
        <v>0</v>
      </c>
      <c r="H369" s="47">
        <f>SUM(H367:H368)</f>
        <v>0</v>
      </c>
      <c r="I369" s="47">
        <f>SUM(I367:I368)</f>
        <v>52729.88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15000</v>
      </c>
      <c r="H390" s="18">
        <v>100.4</v>
      </c>
      <c r="I390" s="18"/>
      <c r="J390" s="24" t="s">
        <v>289</v>
      </c>
      <c r="K390" s="24" t="s">
        <v>289</v>
      </c>
      <c r="L390" s="56">
        <f t="shared" si="25"/>
        <v>15100.4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0</v>
      </c>
      <c r="H392" s="18">
        <v>0</v>
      </c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15000</v>
      </c>
      <c r="H393" s="139">
        <f>SUM(H387:H392)</f>
        <v>100.4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15100.4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25000</v>
      </c>
      <c r="H396" s="18">
        <v>34.380000000000003</v>
      </c>
      <c r="I396" s="18"/>
      <c r="J396" s="24" t="s">
        <v>289</v>
      </c>
      <c r="K396" s="24" t="s">
        <v>289</v>
      </c>
      <c r="L396" s="56">
        <f t="shared" si="26"/>
        <v>25034.38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0</v>
      </c>
      <c r="H397" s="18">
        <v>105.02</v>
      </c>
      <c r="I397" s="18"/>
      <c r="J397" s="24" t="s">
        <v>289</v>
      </c>
      <c r="K397" s="24" t="s">
        <v>289</v>
      </c>
      <c r="L397" s="56">
        <f t="shared" si="26"/>
        <v>105.02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139.4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25139.4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40000</v>
      </c>
      <c r="H408" s="47">
        <f>H393+H401+H407</f>
        <v>239.8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40239.800000000003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>
        <v>2378.6799999999998</v>
      </c>
      <c r="L418" s="56">
        <f t="shared" si="27"/>
        <v>2378.6799999999998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2378.6799999999998</v>
      </c>
      <c r="L419" s="47">
        <f t="shared" si="28"/>
        <v>2378.6799999999998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2378.6799999999998</v>
      </c>
      <c r="L434" s="47">
        <f t="shared" si="32"/>
        <v>2378.6799999999998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58268.84</v>
      </c>
      <c r="G439" s="18">
        <v>159218.85999999999</v>
      </c>
      <c r="H439" s="18"/>
      <c r="I439" s="56">
        <f t="shared" ref="I439:I445" si="33">SUM(F439:H439)</f>
        <v>217487.69999999998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58268.84</v>
      </c>
      <c r="G446" s="13">
        <f>SUM(G439:G445)</f>
        <v>159218.85999999999</v>
      </c>
      <c r="H446" s="13">
        <f>SUM(H439:H445)</f>
        <v>0</v>
      </c>
      <c r="I446" s="13">
        <f>SUM(I439:I445)</f>
        <v>217487.69999999998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2378.6799999999998</v>
      </c>
      <c r="G448" s="18"/>
      <c r="H448" s="18"/>
      <c r="I448" s="56">
        <f>SUM(F448:H448)</f>
        <v>2378.6799999999998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2378.6799999999998</v>
      </c>
      <c r="G452" s="72">
        <f>SUM(G448:G451)</f>
        <v>0</v>
      </c>
      <c r="H452" s="72">
        <f>SUM(H448:H451)</f>
        <v>0</v>
      </c>
      <c r="I452" s="72">
        <f>SUM(I448:I451)</f>
        <v>2378.6799999999998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55890.16</v>
      </c>
      <c r="G459" s="18">
        <v>159218.85999999999</v>
      </c>
      <c r="H459" s="18"/>
      <c r="I459" s="56">
        <f t="shared" si="34"/>
        <v>215109.02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55890.16</v>
      </c>
      <c r="G460" s="83">
        <f>SUM(G454:G459)</f>
        <v>159218.85999999999</v>
      </c>
      <c r="H460" s="83">
        <f>SUM(H454:H459)</f>
        <v>0</v>
      </c>
      <c r="I460" s="83">
        <f>SUM(I454:I459)</f>
        <v>215109.02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58268.840000000004</v>
      </c>
      <c r="G461" s="42">
        <f>G452+G460</f>
        <v>159218.85999999999</v>
      </c>
      <c r="H461" s="42">
        <f>H452+H460</f>
        <v>0</v>
      </c>
      <c r="I461" s="42">
        <f>I452+I460</f>
        <v>217487.69999999998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480322.38</v>
      </c>
      <c r="G465" s="18">
        <v>517.79999999999995</v>
      </c>
      <c r="H465" s="18">
        <v>1810.81</v>
      </c>
      <c r="I465" s="18"/>
      <c r="J465" s="18">
        <v>177247.9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6705568.9900000002</v>
      </c>
      <c r="G468" s="18">
        <v>140910.12</v>
      </c>
      <c r="H468" s="18">
        <v>170131.98</v>
      </c>
      <c r="I468" s="18"/>
      <c r="J468" s="18">
        <v>40239.800000000003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6705568.9900000002</v>
      </c>
      <c r="G470" s="53">
        <f>SUM(G468:G469)</f>
        <v>140910.12</v>
      </c>
      <c r="H470" s="53">
        <f>SUM(H468:H469)</f>
        <v>170131.98</v>
      </c>
      <c r="I470" s="53">
        <f>SUM(I468:I469)</f>
        <v>0</v>
      </c>
      <c r="J470" s="53">
        <f>SUM(J468:J469)</f>
        <v>40239.800000000003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6938008.4000000004</v>
      </c>
      <c r="G472" s="18">
        <v>140910.12</v>
      </c>
      <c r="H472" s="18">
        <v>169734.77</v>
      </c>
      <c r="I472" s="18"/>
      <c r="J472" s="18">
        <v>2378.6799999999998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6938008.4000000004</v>
      </c>
      <c r="G474" s="53">
        <f>SUM(G472:G473)</f>
        <v>140910.12</v>
      </c>
      <c r="H474" s="53">
        <f>SUM(H472:H473)</f>
        <v>169734.77</v>
      </c>
      <c r="I474" s="53">
        <f>SUM(I472:I473)</f>
        <v>0</v>
      </c>
      <c r="J474" s="53">
        <f>SUM(J472:J473)</f>
        <v>2378.6799999999998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247882.96999999974</v>
      </c>
      <c r="G476" s="53">
        <f>(G465+G470)- G474</f>
        <v>517.79999999998836</v>
      </c>
      <c r="H476" s="53">
        <f>(H465+H470)- H474</f>
        <v>2208.0200000000186</v>
      </c>
      <c r="I476" s="53">
        <f>(I465+I470)- I474</f>
        <v>0</v>
      </c>
      <c r="J476" s="53">
        <f>(J465+J470)- J474</f>
        <v>215109.02000000002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540785.34</v>
      </c>
      <c r="G521" s="18">
        <v>298856.94</v>
      </c>
      <c r="H521" s="18">
        <v>77136.98</v>
      </c>
      <c r="I521" s="18">
        <v>454.32</v>
      </c>
      <c r="J521" s="18">
        <v>7993.37</v>
      </c>
      <c r="K521" s="18"/>
      <c r="L521" s="88">
        <f>SUM(F521:K521)</f>
        <v>925226.95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67728.679999999993</v>
      </c>
      <c r="I523" s="18"/>
      <c r="J523" s="18"/>
      <c r="K523" s="18"/>
      <c r="L523" s="88">
        <f>SUM(F523:K523)</f>
        <v>67728.679999999993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540785.34</v>
      </c>
      <c r="G524" s="108">
        <f t="shared" ref="G524:L524" si="36">SUM(G521:G523)</f>
        <v>298856.94</v>
      </c>
      <c r="H524" s="108">
        <f t="shared" si="36"/>
        <v>144865.65999999997</v>
      </c>
      <c r="I524" s="108">
        <f t="shared" si="36"/>
        <v>454.32</v>
      </c>
      <c r="J524" s="108">
        <f t="shared" si="36"/>
        <v>7993.37</v>
      </c>
      <c r="K524" s="108">
        <f t="shared" si="36"/>
        <v>0</v>
      </c>
      <c r="L524" s="89">
        <f t="shared" si="36"/>
        <v>992955.62999999989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118424.56+2796.82</f>
        <v>121221.38</v>
      </c>
      <c r="G526" s="18">
        <f>29364.84+596.56</f>
        <v>29961.4</v>
      </c>
      <c r="H526" s="18">
        <f>48895.42+1103.79</f>
        <v>49999.21</v>
      </c>
      <c r="I526" s="18"/>
      <c r="J526" s="18"/>
      <c r="K526" s="18"/>
      <c r="L526" s="88">
        <f>SUM(F526:K526)</f>
        <v>201181.99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3606.62</v>
      </c>
      <c r="I528" s="18"/>
      <c r="J528" s="18"/>
      <c r="K528" s="18"/>
      <c r="L528" s="88">
        <f>SUM(F528:K528)</f>
        <v>3606.62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121221.38</v>
      </c>
      <c r="G529" s="89">
        <f t="shared" ref="G529:L529" si="37">SUM(G526:G528)</f>
        <v>29961.4</v>
      </c>
      <c r="H529" s="89">
        <f t="shared" si="37"/>
        <v>53605.83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204788.61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31167.71</v>
      </c>
      <c r="I531" s="18"/>
      <c r="J531" s="18"/>
      <c r="K531" s="18"/>
      <c r="L531" s="88">
        <f>SUM(F531:K531)</f>
        <v>31167.71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15913.42</v>
      </c>
      <c r="I533" s="18"/>
      <c r="J533" s="18"/>
      <c r="K533" s="18"/>
      <c r="L533" s="88">
        <f>SUM(F533:K533)</f>
        <v>15913.42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47081.13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47081.13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0</v>
      </c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25325</v>
      </c>
      <c r="I543" s="18"/>
      <c r="J543" s="18"/>
      <c r="K543" s="18"/>
      <c r="L543" s="88">
        <f>SUM(F543:K543)</f>
        <v>25325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25325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25325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662006.72</v>
      </c>
      <c r="G545" s="89">
        <f t="shared" ref="G545:L545" si="41">G524+G529+G534+G539+G544</f>
        <v>328818.34000000003</v>
      </c>
      <c r="H545" s="89">
        <f t="shared" si="41"/>
        <v>270877.62</v>
      </c>
      <c r="I545" s="89">
        <f t="shared" si="41"/>
        <v>454.32</v>
      </c>
      <c r="J545" s="89">
        <f t="shared" si="41"/>
        <v>7993.37</v>
      </c>
      <c r="K545" s="89">
        <f t="shared" si="41"/>
        <v>0</v>
      </c>
      <c r="L545" s="89">
        <f t="shared" si="41"/>
        <v>1270150.3699999996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925226.95</v>
      </c>
      <c r="G549" s="87">
        <f>L526</f>
        <v>201181.99</v>
      </c>
      <c r="H549" s="87">
        <f>L531</f>
        <v>31167.71</v>
      </c>
      <c r="I549" s="87">
        <f>L536</f>
        <v>0</v>
      </c>
      <c r="J549" s="87">
        <f>L541</f>
        <v>0</v>
      </c>
      <c r="K549" s="87">
        <f>SUM(F549:J549)</f>
        <v>1157576.6499999999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67728.679999999993</v>
      </c>
      <c r="G551" s="87">
        <f>L528</f>
        <v>3606.62</v>
      </c>
      <c r="H551" s="87">
        <f>L533</f>
        <v>15913.42</v>
      </c>
      <c r="I551" s="87">
        <f>L538</f>
        <v>0</v>
      </c>
      <c r="J551" s="87">
        <f>L543</f>
        <v>25325</v>
      </c>
      <c r="K551" s="87">
        <f>SUM(F551:J551)</f>
        <v>112573.71999999999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992955.62999999989</v>
      </c>
      <c r="G552" s="89">
        <f t="shared" si="42"/>
        <v>204788.61</v>
      </c>
      <c r="H552" s="89">
        <f t="shared" si="42"/>
        <v>47081.13</v>
      </c>
      <c r="I552" s="89">
        <f t="shared" si="42"/>
        <v>0</v>
      </c>
      <c r="J552" s="89">
        <f t="shared" si="42"/>
        <v>25325</v>
      </c>
      <c r="K552" s="89">
        <f t="shared" si="42"/>
        <v>1270150.3699999999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1935769</v>
      </c>
      <c r="I575" s="87">
        <f>SUM(F575:H575)</f>
        <v>1935769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29719</v>
      </c>
      <c r="I579" s="87">
        <f t="shared" si="47"/>
        <v>29719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24288</v>
      </c>
      <c r="G582" s="18"/>
      <c r="H582" s="18">
        <v>36254.68</v>
      </c>
      <c r="I582" s="87">
        <f t="shared" si="47"/>
        <v>60542.68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144083.96</v>
      </c>
      <c r="I591" s="18"/>
      <c r="J591" s="18">
        <f>121290.96-25235</f>
        <v>96055.96</v>
      </c>
      <c r="K591" s="104">
        <f t="shared" ref="K591:K597" si="48">SUM(H591:J591)</f>
        <v>240139.91999999998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0</v>
      </c>
      <c r="I592" s="18"/>
      <c r="J592" s="18">
        <v>25235</v>
      </c>
      <c r="K592" s="104">
        <f t="shared" si="48"/>
        <v>25235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6148.21</v>
      </c>
      <c r="I594" s="18"/>
      <c r="J594" s="18"/>
      <c r="K594" s="104">
        <f t="shared" si="48"/>
        <v>6148.21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8221.5499999999993</v>
      </c>
      <c r="I595" s="18"/>
      <c r="J595" s="18"/>
      <c r="K595" s="104">
        <f t="shared" si="48"/>
        <v>8221.5499999999993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158453.71999999997</v>
      </c>
      <c r="I598" s="108">
        <f>SUM(I591:I597)</f>
        <v>0</v>
      </c>
      <c r="J598" s="108">
        <f>SUM(J591:J597)</f>
        <v>121290.96</v>
      </c>
      <c r="K598" s="108">
        <f>SUM(K591:K597)</f>
        <v>279744.68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34210.51</v>
      </c>
      <c r="I604" s="18"/>
      <c r="J604" s="18">
        <v>1593.6</v>
      </c>
      <c r="K604" s="104">
        <f>SUM(H604:J604)</f>
        <v>35804.11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34210.51</v>
      </c>
      <c r="I605" s="108">
        <f>SUM(I602:I604)</f>
        <v>0</v>
      </c>
      <c r="J605" s="108">
        <f>SUM(J602:J604)</f>
        <v>1593.6</v>
      </c>
      <c r="K605" s="108">
        <f>SUM(K602:K604)</f>
        <v>35804.11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3300</v>
      </c>
      <c r="G611" s="18">
        <v>784.66</v>
      </c>
      <c r="H611" s="18"/>
      <c r="I611" s="18">
        <v>170.17</v>
      </c>
      <c r="J611" s="18"/>
      <c r="K611" s="18"/>
      <c r="L611" s="88">
        <f>SUM(F611:K611)</f>
        <v>4254.83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3300</v>
      </c>
      <c r="G614" s="108">
        <f t="shared" si="49"/>
        <v>784.66</v>
      </c>
      <c r="H614" s="108">
        <f t="shared" si="49"/>
        <v>0</v>
      </c>
      <c r="I614" s="108">
        <f t="shared" si="49"/>
        <v>170.17</v>
      </c>
      <c r="J614" s="108">
        <f t="shared" si="49"/>
        <v>0</v>
      </c>
      <c r="K614" s="108">
        <f t="shared" si="49"/>
        <v>0</v>
      </c>
      <c r="L614" s="89">
        <f t="shared" si="49"/>
        <v>4254.83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333568.18</v>
      </c>
      <c r="H617" s="109">
        <f>SUM(F52)</f>
        <v>333568.18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86590.38</v>
      </c>
      <c r="H618" s="109">
        <f>SUM(G52)</f>
        <v>86590.38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36921.57</v>
      </c>
      <c r="H619" s="109">
        <f>SUM(H52)</f>
        <v>36921.57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217487.69999999998</v>
      </c>
      <c r="H621" s="109">
        <f>SUM(J52)</f>
        <v>217487.69999999998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247882.97</v>
      </c>
      <c r="H622" s="109">
        <f>F476</f>
        <v>247882.96999999974</v>
      </c>
      <c r="I622" s="121" t="s">
        <v>101</v>
      </c>
      <c r="J622" s="109">
        <f t="shared" ref="J622:J655" si="50">G622-H622</f>
        <v>2.6193447411060333E-10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517.79999999999995</v>
      </c>
      <c r="H623" s="109">
        <f>G476</f>
        <v>517.79999999998836</v>
      </c>
      <c r="I623" s="121" t="s">
        <v>102</v>
      </c>
      <c r="J623" s="109">
        <f t="shared" si="50"/>
        <v>1.1596057447604835E-11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2208.02</v>
      </c>
      <c r="H624" s="109">
        <f>H476</f>
        <v>2208.0200000000186</v>
      </c>
      <c r="I624" s="121" t="s">
        <v>103</v>
      </c>
      <c r="J624" s="109">
        <f t="shared" si="50"/>
        <v>-1.8644641386345029E-11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215109.02</v>
      </c>
      <c r="H626" s="109">
        <f>J476</f>
        <v>215109.02000000002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6705568.9900000002</v>
      </c>
      <c r="H627" s="104">
        <f>SUM(F468)</f>
        <v>6705568.9900000002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140910.12</v>
      </c>
      <c r="H628" s="104">
        <f>SUM(G468)</f>
        <v>140910.12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170131.98</v>
      </c>
      <c r="H629" s="104">
        <f>SUM(H468)</f>
        <v>170131.98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40239.800000000003</v>
      </c>
      <c r="H631" s="104">
        <f>SUM(J468)</f>
        <v>40239.800000000003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6938008.3999999994</v>
      </c>
      <c r="H632" s="104">
        <f>SUM(F472)</f>
        <v>6938008.4000000004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169734.77000000002</v>
      </c>
      <c r="H633" s="104">
        <f>SUM(H472)</f>
        <v>169734.77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52729.88</v>
      </c>
      <c r="H634" s="104">
        <f>I369</f>
        <v>52729.88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140910.12</v>
      </c>
      <c r="H635" s="104">
        <f>SUM(G472)</f>
        <v>140910.12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40239.800000000003</v>
      </c>
      <c r="H637" s="164">
        <f>SUM(J468)</f>
        <v>40239.800000000003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2378.6799999999998</v>
      </c>
      <c r="H638" s="164">
        <f>SUM(J472)</f>
        <v>2378.6799999999998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58268.84</v>
      </c>
      <c r="H639" s="104">
        <f>SUM(F461)</f>
        <v>58268.840000000004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159218.85999999999</v>
      </c>
      <c r="H640" s="104">
        <f>SUM(G461)</f>
        <v>159218.85999999999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217487.69999999998</v>
      </c>
      <c r="H642" s="104">
        <f>SUM(I461)</f>
        <v>217487.69999999998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239.8</v>
      </c>
      <c r="H644" s="104">
        <f>H408</f>
        <v>239.8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40000</v>
      </c>
      <c r="H645" s="104">
        <f>G408</f>
        <v>40000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40239.800000000003</v>
      </c>
      <c r="H646" s="104">
        <f>L408</f>
        <v>40239.800000000003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279744.68</v>
      </c>
      <c r="H647" s="104">
        <f>L208+L226+L244</f>
        <v>279744.68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35804.11</v>
      </c>
      <c r="H648" s="104">
        <f>(J257+J338)-(J255+J336)</f>
        <v>35804.11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158453.71999999997</v>
      </c>
      <c r="H649" s="104">
        <f>H598</f>
        <v>158453.71999999997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121290.96</v>
      </c>
      <c r="H651" s="104">
        <f>J598</f>
        <v>121290.96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27591.72</v>
      </c>
      <c r="H652" s="104">
        <f>K263+K345</f>
        <v>27591.72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40000</v>
      </c>
      <c r="H655" s="104">
        <f>K266+K347</f>
        <v>40000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4927043.3999999994</v>
      </c>
      <c r="G660" s="19">
        <f>(L229+L309+L359)</f>
        <v>0</v>
      </c>
      <c r="H660" s="19">
        <f>(L247+L328+L360)</f>
        <v>2254018.17</v>
      </c>
      <c r="I660" s="19">
        <f>SUM(F660:H660)</f>
        <v>7181061.5699999994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64323.89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64323.89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156063.31999999998</v>
      </c>
      <c r="G662" s="19">
        <f>(L226+L306)-(J226+J306)</f>
        <v>0</v>
      </c>
      <c r="H662" s="19">
        <f>(L244+L325)-(J244+J325)</f>
        <v>119697.36</v>
      </c>
      <c r="I662" s="19">
        <f>SUM(F662:H662)</f>
        <v>275760.68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62753.340000000004</v>
      </c>
      <c r="G663" s="199">
        <f>SUM(G575:G587)+SUM(I602:I604)+L612</f>
        <v>0</v>
      </c>
      <c r="H663" s="199">
        <f>SUM(H575:H587)+SUM(J602:J604)+L613</f>
        <v>2003336.28</v>
      </c>
      <c r="I663" s="19">
        <f>SUM(F663:H663)</f>
        <v>2066089.62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4643902.8499999996</v>
      </c>
      <c r="G664" s="19">
        <f>G660-SUM(G661:G663)</f>
        <v>0</v>
      </c>
      <c r="H664" s="19">
        <f>H660-SUM(H661:H663)</f>
        <v>130984.5299999998</v>
      </c>
      <c r="I664" s="19">
        <f>I660-SUM(I661:I663)</f>
        <v>4774887.379999999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191.39</v>
      </c>
      <c r="G665" s="248"/>
      <c r="H665" s="248"/>
      <c r="I665" s="19">
        <f>SUM(F665:H665)</f>
        <v>191.39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24264.080000000002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24948.47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-130984.53</v>
      </c>
      <c r="I669" s="19">
        <f>SUM(F669:H669)</f>
        <v>-130984.53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24264.080000000002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24264.080000000002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11" man="1"/>
    <brk id="169" max="11" man="1"/>
    <brk id="193" max="11" man="1"/>
    <brk id="211" max="11" man="1"/>
    <brk id="229" max="11" man="1"/>
    <brk id="247" max="11" man="1"/>
    <brk id="271" max="11" man="1"/>
    <brk id="290" max="11" man="1"/>
    <brk id="309" max="11" man="1"/>
    <brk id="328" max="11" man="1"/>
    <brk id="352" max="11" man="1"/>
    <brk id="382" max="11" man="1"/>
    <brk id="408" max="11" man="1"/>
    <brk id="434" max="11" man="1"/>
    <brk id="461" max="11" man="1"/>
    <brk id="485" max="11" man="1"/>
    <brk id="517" max="11" man="1"/>
    <brk id="552" max="11" man="1"/>
    <brk id="588" max="11" man="1"/>
    <brk id="615" max="11" man="1"/>
    <brk id="656" max="11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                 BARTLETT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1378639.3900000001</v>
      </c>
      <c r="C9" s="229">
        <f>'DOE25'!G197+'DOE25'!G215+'DOE25'!G233+'DOE25'!G276+'DOE25'!G295+'DOE25'!G314</f>
        <v>653108.91</v>
      </c>
    </row>
    <row r="10" spans="1:3" x14ac:dyDescent="0.2">
      <c r="A10" t="s">
        <v>779</v>
      </c>
      <c r="B10" s="240">
        <v>1239783.1000000001</v>
      </c>
      <c r="C10" s="240">
        <v>583721.65</v>
      </c>
    </row>
    <row r="11" spans="1:3" x14ac:dyDescent="0.2">
      <c r="A11" t="s">
        <v>780</v>
      </c>
      <c r="B11" s="240">
        <v>59337.26</v>
      </c>
      <c r="C11" s="240">
        <v>49253.13</v>
      </c>
    </row>
    <row r="12" spans="1:3" x14ac:dyDescent="0.2">
      <c r="A12" t="s">
        <v>781</v>
      </c>
      <c r="B12" s="240">
        <v>79519.03</v>
      </c>
      <c r="C12" s="240">
        <v>20134.13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1378639.3900000001</v>
      </c>
      <c r="C13" s="231">
        <f>SUM(C10:C12)</f>
        <v>653108.91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540785.34</v>
      </c>
      <c r="C18" s="229">
        <f>'DOE25'!G198+'DOE25'!G216+'DOE25'!G234+'DOE25'!G277+'DOE25'!G296+'DOE25'!G315</f>
        <v>298856.94</v>
      </c>
    </row>
    <row r="19" spans="1:3" x14ac:dyDescent="0.2">
      <c r="A19" t="s">
        <v>779</v>
      </c>
      <c r="B19" s="240">
        <v>285069.40000000002</v>
      </c>
      <c r="C19" s="240">
        <v>122306.06</v>
      </c>
    </row>
    <row r="20" spans="1:3" x14ac:dyDescent="0.2">
      <c r="A20" t="s">
        <v>780</v>
      </c>
      <c r="B20" s="240">
        <v>255715.94</v>
      </c>
      <c r="C20" s="240">
        <v>176550.88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540785.34000000008</v>
      </c>
      <c r="C22" s="231">
        <f>SUM(C19:C21)</f>
        <v>298856.94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53644</v>
      </c>
      <c r="C36" s="235">
        <f>'DOE25'!G200+'DOE25'!G218+'DOE25'!G236+'DOE25'!G279+'DOE25'!G298+'DOE25'!G317</f>
        <v>10809.83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53644</v>
      </c>
      <c r="C39" s="240">
        <v>10809.83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53644</v>
      </c>
      <c r="C40" s="231">
        <f>SUM(C37:C39)</f>
        <v>10809.83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3" activePane="bottomLeft" state="frozen"/>
      <selection activeCell="F46" sqref="F46"/>
      <selection pane="bottomLeft" activeCell="D69" sqref="D6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 xml:space="preserve">                 BARTLETT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5024947.95</v>
      </c>
      <c r="D5" s="20">
        <f>SUM('DOE25'!L197:L200)+SUM('DOE25'!L215:L218)+SUM('DOE25'!L233:L236)-F5-G5</f>
        <v>5008452.95</v>
      </c>
      <c r="E5" s="243"/>
      <c r="F5" s="255">
        <f>SUM('DOE25'!J197:J200)+SUM('DOE25'!J215:J218)+SUM('DOE25'!J233:J236)</f>
        <v>16495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411267.4</v>
      </c>
      <c r="D6" s="20">
        <f>'DOE25'!L202+'DOE25'!L220+'DOE25'!L238-F6-G6</f>
        <v>411267.4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103793.46999999999</v>
      </c>
      <c r="D7" s="20">
        <f>'DOE25'!L203+'DOE25'!L221+'DOE25'!L239-F7-G7</f>
        <v>103793.46999999999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239410.15</v>
      </c>
      <c r="D8" s="243"/>
      <c r="E8" s="20">
        <f>'DOE25'!L204+'DOE25'!L222+'DOE25'!L240-F8-G8-D9-D11</f>
        <v>236516.5</v>
      </c>
      <c r="F8" s="255">
        <f>'DOE25'!J204+'DOE25'!J222+'DOE25'!J240</f>
        <v>0</v>
      </c>
      <c r="G8" s="53">
        <f>'DOE25'!K204+'DOE25'!K222+'DOE25'!K240</f>
        <v>2893.6499999999996</v>
      </c>
      <c r="H8" s="259"/>
    </row>
    <row r="9" spans="1:9" x14ac:dyDescent="0.2">
      <c r="A9" s="32">
        <v>2310</v>
      </c>
      <c r="B9" t="s">
        <v>818</v>
      </c>
      <c r="C9" s="245">
        <f t="shared" si="0"/>
        <v>5445</v>
      </c>
      <c r="D9" s="244">
        <v>5445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33606.519999999997</v>
      </c>
      <c r="D10" s="243"/>
      <c r="E10" s="244">
        <v>33606.519999999997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76136.37</v>
      </c>
      <c r="D11" s="244">
        <v>76136.37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308167.09000000003</v>
      </c>
      <c r="D12" s="20">
        <f>'DOE25'!L205+'DOE25'!L223+'DOE25'!L241-F12-G12</f>
        <v>303846.41000000003</v>
      </c>
      <c r="E12" s="243"/>
      <c r="F12" s="255">
        <f>'DOE25'!J205+'DOE25'!J223+'DOE25'!J241</f>
        <v>2740.79</v>
      </c>
      <c r="G12" s="53">
        <f>'DOE25'!K205+'DOE25'!K223+'DOE25'!K241</f>
        <v>1579.89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421281.02</v>
      </c>
      <c r="D14" s="20">
        <f>'DOE25'!L207+'DOE25'!L225+'DOE25'!L243-F14-G14</f>
        <v>419071.03</v>
      </c>
      <c r="E14" s="243"/>
      <c r="F14" s="255">
        <f>'DOE25'!J207+'DOE25'!J225+'DOE25'!J243</f>
        <v>2209.9899999999998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279744.68</v>
      </c>
      <c r="D15" s="20">
        <f>'DOE25'!L208+'DOE25'!L226+'DOE25'!L244-F15-G15</f>
        <v>275760.68</v>
      </c>
      <c r="E15" s="243"/>
      <c r="F15" s="255">
        <f>'DOE25'!J208+'DOE25'!J226+'DOE25'!J244</f>
        <v>3984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223.55</v>
      </c>
      <c r="D16" s="243"/>
      <c r="E16" s="20">
        <f>'DOE25'!L209+'DOE25'!L227+'DOE25'!L245-F16-G16</f>
        <v>223.55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93965.69</v>
      </c>
      <c r="D29" s="20">
        <f>'DOE25'!L358+'DOE25'!L359+'DOE25'!L360-'DOE25'!I367-F29-G29</f>
        <v>93965.69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169734.77000000002</v>
      </c>
      <c r="D31" s="20">
        <f>'DOE25'!L290+'DOE25'!L309+'DOE25'!L328+'DOE25'!L333+'DOE25'!L334+'DOE25'!L335-F31-G31</f>
        <v>159360.44000000003</v>
      </c>
      <c r="E31" s="243"/>
      <c r="F31" s="255">
        <f>'DOE25'!J290+'DOE25'!J309+'DOE25'!J328+'DOE25'!J333+'DOE25'!J334+'DOE25'!J335</f>
        <v>10374.33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6857099.4400000013</v>
      </c>
      <c r="E33" s="246">
        <f>SUM(E5:E31)</f>
        <v>270346.57</v>
      </c>
      <c r="F33" s="246">
        <f>SUM(F5:F31)</f>
        <v>35804.11</v>
      </c>
      <c r="G33" s="246">
        <f>SUM(G5:G31)</f>
        <v>4473.54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270346.57</v>
      </c>
      <c r="E35" s="249"/>
    </row>
    <row r="36" spans="2:8" ht="12" thickTop="1" x14ac:dyDescent="0.2">
      <c r="B36" t="s">
        <v>815</v>
      </c>
      <c r="D36" s="20">
        <f>D33</f>
        <v>6857099.4400000013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 BARTLETT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209060.11</v>
      </c>
      <c r="D8" s="95">
        <f>'DOE25'!G9</f>
        <v>47117.87</v>
      </c>
      <c r="E8" s="95">
        <f>'DOE25'!H9</f>
        <v>0</v>
      </c>
      <c r="F8" s="95">
        <f>'DOE25'!I9</f>
        <v>0</v>
      </c>
      <c r="G8" s="95">
        <f>'DOE25'!J9</f>
        <v>217487.69999999998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122849.81</v>
      </c>
      <c r="D11" s="95">
        <f>'DOE25'!G12</f>
        <v>27591.72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700.96</v>
      </c>
      <c r="D12" s="95">
        <f>'DOE25'!G13</f>
        <v>11565.79</v>
      </c>
      <c r="E12" s="95">
        <f>'DOE25'!H13</f>
        <v>36921.57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957.3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315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333568.18</v>
      </c>
      <c r="D18" s="41">
        <f>SUM(D8:D17)</f>
        <v>86590.38</v>
      </c>
      <c r="E18" s="41">
        <f>SUM(E8:E17)</f>
        <v>36921.57</v>
      </c>
      <c r="F18" s="41">
        <f>SUM(F8:F17)</f>
        <v>0</v>
      </c>
      <c r="G18" s="41">
        <f>SUM(G8:G17)</f>
        <v>217487.69999999998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85757.58</v>
      </c>
      <c r="E21" s="95">
        <f>'DOE25'!H22</f>
        <v>34713.550000000003</v>
      </c>
      <c r="F21" s="95">
        <f>'DOE25'!I22</f>
        <v>0</v>
      </c>
      <c r="G21" s="95">
        <f>'DOE25'!J22</f>
        <v>2378.6799999999998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56799.19</v>
      </c>
      <c r="D23" s="95">
        <f>'DOE25'!G24</f>
        <v>315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4388.83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24497.19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85685.21</v>
      </c>
      <c r="D31" s="41">
        <f>SUM(D21:D30)</f>
        <v>86072.58</v>
      </c>
      <c r="E31" s="41">
        <f>SUM(E21:E30)</f>
        <v>34713.550000000003</v>
      </c>
      <c r="F31" s="41">
        <f>SUM(F21:F30)</f>
        <v>0</v>
      </c>
      <c r="G31" s="41">
        <f>SUM(G21:G30)</f>
        <v>2378.6799999999998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517.79999999999995</v>
      </c>
      <c r="E47" s="95">
        <f>'DOE25'!H48</f>
        <v>2208.02</v>
      </c>
      <c r="F47" s="95">
        <f>'DOE25'!I48</f>
        <v>0</v>
      </c>
      <c r="G47" s="95">
        <f>'DOE25'!J48</f>
        <v>215109.02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222882.97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247882.97</v>
      </c>
      <c r="D50" s="41">
        <f>SUM(D34:D49)</f>
        <v>517.79999999999995</v>
      </c>
      <c r="E50" s="41">
        <f>SUM(E34:E49)</f>
        <v>2208.02</v>
      </c>
      <c r="F50" s="41">
        <f>SUM(F34:F49)</f>
        <v>0</v>
      </c>
      <c r="G50" s="41">
        <f>SUM(G34:G49)</f>
        <v>215109.02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333568.18</v>
      </c>
      <c r="D51" s="41">
        <f>D50+D31</f>
        <v>86590.38</v>
      </c>
      <c r="E51" s="41">
        <f>E50+E31</f>
        <v>36921.57</v>
      </c>
      <c r="F51" s="41">
        <f>F50+F31</f>
        <v>0</v>
      </c>
      <c r="G51" s="41">
        <f>G50+G31</f>
        <v>217487.69999999998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3874238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335592.36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180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5.57</v>
      </c>
      <c r="E59" s="95">
        <f>'DOE25'!H96</f>
        <v>0</v>
      </c>
      <c r="F59" s="95">
        <f>'DOE25'!I96</f>
        <v>0</v>
      </c>
      <c r="G59" s="95">
        <f>'DOE25'!J96</f>
        <v>239.8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64323.89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110392.23000000001</v>
      </c>
      <c r="D61" s="95">
        <f>SUM('DOE25'!G98:G110)</f>
        <v>0</v>
      </c>
      <c r="E61" s="95">
        <f>SUM('DOE25'!H98:H110)</f>
        <v>3130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446164.58999999997</v>
      </c>
      <c r="D62" s="130">
        <f>SUM(D57:D61)</f>
        <v>64329.46</v>
      </c>
      <c r="E62" s="130">
        <f>SUM(E57:E61)</f>
        <v>3130</v>
      </c>
      <c r="F62" s="130">
        <f>SUM(F57:F61)</f>
        <v>0</v>
      </c>
      <c r="G62" s="130">
        <f>SUM(G57:G61)</f>
        <v>239.8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4320402.59</v>
      </c>
      <c r="D63" s="22">
        <f>D56+D62</f>
        <v>64329.46</v>
      </c>
      <c r="E63" s="22">
        <f>E56+E62</f>
        <v>3130</v>
      </c>
      <c r="F63" s="22">
        <f>F56+F62</f>
        <v>0</v>
      </c>
      <c r="G63" s="22">
        <f>G56+G62</f>
        <v>239.8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18308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2268711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2287019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26044.54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1142.82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26044.54</v>
      </c>
      <c r="D78" s="130">
        <f>SUM(D72:D77)</f>
        <v>1142.82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2313063.54</v>
      </c>
      <c r="D81" s="130">
        <f>SUM(D79:D80)+D78+D70</f>
        <v>1142.82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2962.23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53153.47</v>
      </c>
      <c r="D88" s="95">
        <f>SUM('DOE25'!G153:G161)</f>
        <v>47846.12</v>
      </c>
      <c r="E88" s="95">
        <f>SUM('DOE25'!H153:H161)</f>
        <v>164039.75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16570.71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69724.179999999993</v>
      </c>
      <c r="D91" s="131">
        <f>SUM(D85:D90)</f>
        <v>47846.12</v>
      </c>
      <c r="E91" s="131">
        <f>SUM(E85:E90)</f>
        <v>167001.98000000001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27591.72</v>
      </c>
      <c r="E96" s="95">
        <f>'DOE25'!H179</f>
        <v>0</v>
      </c>
      <c r="F96" s="95">
        <f>'DOE25'!I179</f>
        <v>0</v>
      </c>
      <c r="G96" s="95">
        <f>'DOE25'!J179</f>
        <v>40000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2378.6799999999998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2378.6799999999998</v>
      </c>
      <c r="D103" s="86">
        <f>SUM(D93:D102)</f>
        <v>27591.72</v>
      </c>
      <c r="E103" s="86">
        <f>SUM(E93:E102)</f>
        <v>0</v>
      </c>
      <c r="F103" s="86">
        <f>SUM(F93:F102)</f>
        <v>0</v>
      </c>
      <c r="G103" s="86">
        <f>SUM(G93:G102)</f>
        <v>40000</v>
      </c>
    </row>
    <row r="104" spans="1:7" ht="12.75" thickTop="1" thickBot="1" x14ac:dyDescent="0.25">
      <c r="A104" s="33" t="s">
        <v>765</v>
      </c>
      <c r="C104" s="86">
        <f>C63+C81+C91+C103</f>
        <v>6705568.9899999993</v>
      </c>
      <c r="D104" s="86">
        <f>D63+D81+D91+D103</f>
        <v>140910.12</v>
      </c>
      <c r="E104" s="86">
        <f>E63+E81+E91+E103</f>
        <v>170131.98</v>
      </c>
      <c r="F104" s="86">
        <f>F63+F81+F91+F103</f>
        <v>0</v>
      </c>
      <c r="G104" s="86">
        <f>G63+G81+G103</f>
        <v>40239.800000000003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3983817.12</v>
      </c>
      <c r="D109" s="24" t="s">
        <v>289</v>
      </c>
      <c r="E109" s="95">
        <f>('DOE25'!L276)+('DOE25'!L295)+('DOE25'!L314)</f>
        <v>70689.960000000006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942233.73</v>
      </c>
      <c r="D110" s="24" t="s">
        <v>289</v>
      </c>
      <c r="E110" s="95">
        <f>('DOE25'!L277)+('DOE25'!L296)+('DOE25'!L315)</f>
        <v>50721.9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98897.1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5024947.9499999993</v>
      </c>
      <c r="D115" s="86">
        <f>SUM(D109:D114)</f>
        <v>0</v>
      </c>
      <c r="E115" s="86">
        <f>SUM(E109:E114)</f>
        <v>121411.86000000002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411267.4</v>
      </c>
      <c r="D118" s="24" t="s">
        <v>289</v>
      </c>
      <c r="E118" s="95">
        <f>+('DOE25'!L281)+('DOE25'!L300)+('DOE25'!L319)</f>
        <v>13645.76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103793.46999999999</v>
      </c>
      <c r="D119" s="24" t="s">
        <v>289</v>
      </c>
      <c r="E119" s="95">
        <f>+('DOE25'!L282)+('DOE25'!L301)+('DOE25'!L320)</f>
        <v>34677.149999999994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320991.52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308167.09000000003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421281.02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279744.68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223.55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140910.12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1845468.73</v>
      </c>
      <c r="D128" s="86">
        <f>SUM(D118:D127)</f>
        <v>140910.12</v>
      </c>
      <c r="E128" s="86">
        <f>SUM(E118:E127)</f>
        <v>48322.909999999996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2378.6799999999998</v>
      </c>
    </row>
    <row r="135" spans="1:7" x14ac:dyDescent="0.2">
      <c r="A135" t="s">
        <v>233</v>
      </c>
      <c r="B135" s="32" t="s">
        <v>234</v>
      </c>
      <c r="C135" s="95">
        <f>'DOE25'!L263</f>
        <v>27591.72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15100.4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25139.4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-239.80000000000291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67591.72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2378.6799999999998</v>
      </c>
    </row>
    <row r="145" spans="1:9" ht="12.75" thickTop="1" thickBot="1" x14ac:dyDescent="0.25">
      <c r="A145" s="33" t="s">
        <v>244</v>
      </c>
      <c r="C145" s="86">
        <f>(C115+C128+C144)</f>
        <v>6938008.3999999994</v>
      </c>
      <c r="D145" s="86">
        <f>(D115+D128+D144)</f>
        <v>140910.12</v>
      </c>
      <c r="E145" s="86">
        <f>(E115+E128+E144)</f>
        <v>169734.77000000002</v>
      </c>
      <c r="F145" s="86">
        <f>(F115+F128+F144)</f>
        <v>0</v>
      </c>
      <c r="G145" s="86">
        <f>(G115+G128+G144)</f>
        <v>2378.6799999999998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 xml:space="preserve">                 BARTLETT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24264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24264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4054507</v>
      </c>
      <c r="D10" s="182">
        <f>ROUND((C10/$C$28)*100,1)</f>
        <v>57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992956</v>
      </c>
      <c r="D11" s="182">
        <f>ROUND((C11/$C$28)*100,1)</f>
        <v>14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98897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424913</v>
      </c>
      <c r="D15" s="182">
        <f t="shared" ref="D15:D27" si="0">ROUND((C15/$C$28)*100,1)</f>
        <v>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138471</v>
      </c>
      <c r="D16" s="182">
        <f t="shared" si="0"/>
        <v>1.9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321215</v>
      </c>
      <c r="D17" s="182">
        <f t="shared" si="0"/>
        <v>4.5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308167</v>
      </c>
      <c r="D18" s="182">
        <f t="shared" si="0"/>
        <v>4.3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421281</v>
      </c>
      <c r="D20" s="182">
        <f t="shared" si="0"/>
        <v>5.9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279745</v>
      </c>
      <c r="D21" s="182">
        <f t="shared" si="0"/>
        <v>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76586.11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7116738.1100000003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7116738.1100000003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3874238</v>
      </c>
      <c r="D35" s="182">
        <f t="shared" ref="D35:D40" si="1">ROUND((C35/$C$41)*100,1)</f>
        <v>56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449539.96000000089</v>
      </c>
      <c r="D36" s="182">
        <f t="shared" si="1"/>
        <v>6.5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2287019</v>
      </c>
      <c r="D37" s="182">
        <f t="shared" si="1"/>
        <v>33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27187</v>
      </c>
      <c r="D38" s="182">
        <f t="shared" si="1"/>
        <v>0.4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284572</v>
      </c>
      <c r="D39" s="182">
        <f t="shared" si="1"/>
        <v>4.0999999999999996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6922555.9600000009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 xml:space="preserve">                 BARTLETT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2016-09-01T12:02:23Z</cp:lastPrinted>
  <dcterms:created xsi:type="dcterms:W3CDTF">1997-12-04T19:04:30Z</dcterms:created>
  <dcterms:modified xsi:type="dcterms:W3CDTF">2016-12-01T17:41:05Z</dcterms:modified>
</cp:coreProperties>
</file>