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F50" i="1"/>
  <c r="F24" i="1"/>
  <c r="G459" i="1"/>
  <c r="G440" i="1" l="1"/>
  <c r="C37" i="12" l="1"/>
  <c r="C39" i="12"/>
  <c r="C20" i="12"/>
  <c r="C19" i="12"/>
  <c r="C21" i="12"/>
  <c r="C10" i="12"/>
  <c r="C12" i="12"/>
  <c r="C11" i="12"/>
  <c r="H595" i="1" l="1"/>
  <c r="F465" i="1"/>
  <c r="H24" i="1"/>
  <c r="G282" i="1"/>
  <c r="J276" i="1"/>
  <c r="H240" i="1"/>
  <c r="H222" i="1"/>
  <c r="H208" i="1"/>
  <c r="H209" i="1"/>
  <c r="H207" i="1"/>
  <c r="H204" i="1"/>
  <c r="H203" i="1"/>
  <c r="H202" i="1"/>
  <c r="H155" i="1"/>
  <c r="H154" i="1"/>
  <c r="G158" i="1"/>
  <c r="H29" i="1"/>
  <c r="F29" i="1"/>
  <c r="F18" i="1"/>
  <c r="F12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L250" i="1"/>
  <c r="L332" i="1"/>
  <c r="L254" i="1"/>
  <c r="L268" i="1"/>
  <c r="L269" i="1"/>
  <c r="L349" i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C121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G257" i="1" s="1"/>
  <c r="G271" i="1" s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F461" i="1"/>
  <c r="G461" i="1"/>
  <c r="H461" i="1"/>
  <c r="F470" i="1"/>
  <c r="G470" i="1"/>
  <c r="H470" i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G624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0" i="1"/>
  <c r="H640" i="1"/>
  <c r="J640" i="1" s="1"/>
  <c r="G641" i="1"/>
  <c r="H641" i="1"/>
  <c r="J641" i="1" s="1"/>
  <c r="G643" i="1"/>
  <c r="H643" i="1"/>
  <c r="J643" i="1" s="1"/>
  <c r="G644" i="1"/>
  <c r="G650" i="1"/>
  <c r="G651" i="1"/>
  <c r="G652" i="1"/>
  <c r="H652" i="1"/>
  <c r="G653" i="1"/>
  <c r="H653" i="1"/>
  <c r="G654" i="1"/>
  <c r="H654" i="1"/>
  <c r="H655" i="1"/>
  <c r="J655" i="1" s="1"/>
  <c r="F192" i="1"/>
  <c r="L328" i="1"/>
  <c r="A31" i="12"/>
  <c r="D62" i="2"/>
  <c r="D63" i="2" s="1"/>
  <c r="F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G552" i="1"/>
  <c r="H476" i="1"/>
  <c r="H624" i="1" s="1"/>
  <c r="G476" i="1"/>
  <c r="H623" i="1" s="1"/>
  <c r="J623" i="1" s="1"/>
  <c r="J140" i="1"/>
  <c r="K550" i="1"/>
  <c r="G22" i="2"/>
  <c r="J552" i="1"/>
  <c r="H140" i="1"/>
  <c r="F22" i="13"/>
  <c r="C22" i="13" s="1"/>
  <c r="J634" i="1"/>
  <c r="H338" i="1"/>
  <c r="H352" i="1" s="1"/>
  <c r="F338" i="1"/>
  <c r="F352" i="1" s="1"/>
  <c r="H192" i="1"/>
  <c r="L570" i="1"/>
  <c r="I571" i="1"/>
  <c r="G36" i="2"/>
  <c r="H545" i="1"/>
  <c r="I460" i="1" l="1"/>
  <c r="J476" i="1"/>
  <c r="H626" i="1" s="1"/>
  <c r="G645" i="1"/>
  <c r="J645" i="1" s="1"/>
  <c r="L401" i="1"/>
  <c r="C139" i="2" s="1"/>
  <c r="L534" i="1"/>
  <c r="J651" i="1"/>
  <c r="L544" i="1"/>
  <c r="L524" i="1"/>
  <c r="K551" i="1"/>
  <c r="K549" i="1"/>
  <c r="J622" i="1"/>
  <c r="I476" i="1"/>
  <c r="H625" i="1" s="1"/>
  <c r="L427" i="1"/>
  <c r="C26" i="10"/>
  <c r="L270" i="1"/>
  <c r="K257" i="1"/>
  <c r="K271" i="1" s="1"/>
  <c r="L247" i="1"/>
  <c r="H660" i="1" s="1"/>
  <c r="H664" i="1" s="1"/>
  <c r="H667" i="1" s="1"/>
  <c r="C12" i="10"/>
  <c r="D5" i="13"/>
  <c r="C5" i="13" s="1"/>
  <c r="F257" i="1"/>
  <c r="F271" i="1" s="1"/>
  <c r="H257" i="1"/>
  <c r="H271" i="1" s="1"/>
  <c r="C123" i="2"/>
  <c r="C18" i="10"/>
  <c r="L211" i="1"/>
  <c r="C10" i="10"/>
  <c r="C91" i="2"/>
  <c r="F112" i="1"/>
  <c r="I461" i="1"/>
  <c r="H642" i="1" s="1"/>
  <c r="J642" i="1" s="1"/>
  <c r="J624" i="1"/>
  <c r="E31" i="2"/>
  <c r="J617" i="1"/>
  <c r="C18" i="2"/>
  <c r="E128" i="2"/>
  <c r="C16" i="13"/>
  <c r="C81" i="2"/>
  <c r="E13" i="13"/>
  <c r="C13" i="13" s="1"/>
  <c r="E8" i="13"/>
  <c r="C8" i="13" s="1"/>
  <c r="D12" i="13"/>
  <c r="C12" i="13" s="1"/>
  <c r="L290" i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J647" i="1" s="1"/>
  <c r="G625" i="1"/>
  <c r="J625" i="1" s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I193" i="1" s="1"/>
  <c r="G630" i="1" s="1"/>
  <c r="J630" i="1" s="1"/>
  <c r="G50" i="2"/>
  <c r="G51" i="2" s="1"/>
  <c r="J652" i="1"/>
  <c r="G571" i="1"/>
  <c r="I434" i="1"/>
  <c r="G434" i="1"/>
  <c r="E104" i="2"/>
  <c r="I663" i="1"/>
  <c r="C27" i="10"/>
  <c r="G635" i="1"/>
  <c r="J635" i="1" s="1"/>
  <c r="C141" i="2" l="1"/>
  <c r="C144" i="2" s="1"/>
  <c r="C145" i="2" s="1"/>
  <c r="L408" i="1"/>
  <c r="G637" i="1" s="1"/>
  <c r="J637" i="1" s="1"/>
  <c r="K552" i="1"/>
  <c r="H648" i="1"/>
  <c r="J648" i="1" s="1"/>
  <c r="L338" i="1"/>
  <c r="E145" i="2"/>
  <c r="D31" i="13"/>
  <c r="C31" i="13" s="1"/>
  <c r="L257" i="1"/>
  <c r="L271" i="1" s="1"/>
  <c r="G632" i="1" s="1"/>
  <c r="J632" i="1" s="1"/>
  <c r="C28" i="10"/>
  <c r="D23" i="10" s="1"/>
  <c r="C128" i="2"/>
  <c r="G672" i="1"/>
  <c r="C5" i="10" s="1"/>
  <c r="F660" i="1"/>
  <c r="I660" i="1" s="1"/>
  <c r="I664" i="1" s="1"/>
  <c r="I672" i="1" s="1"/>
  <c r="C7" i="10" s="1"/>
  <c r="G104" i="2"/>
  <c r="H672" i="1"/>
  <c r="C6" i="10" s="1"/>
  <c r="E51" i="2"/>
  <c r="L352" i="1"/>
  <c r="G633" i="1" s="1"/>
  <c r="J633" i="1" s="1"/>
  <c r="C25" i="13"/>
  <c r="H33" i="13"/>
  <c r="E33" i="13"/>
  <c r="D35" i="13" s="1"/>
  <c r="L545" i="1"/>
  <c r="C63" i="2"/>
  <c r="C104" i="2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D33" i="13"/>
  <c r="D36" i="13" s="1"/>
  <c r="D10" i="10"/>
  <c r="D20" i="10"/>
  <c r="D11" i="10"/>
  <c r="D21" i="10"/>
  <c r="D26" i="10"/>
  <c r="D25" i="10"/>
  <c r="D15" i="10"/>
  <c r="D16" i="10"/>
  <c r="D13" i="10"/>
  <c r="C30" i="10"/>
  <c r="D19" i="10"/>
  <c r="D22" i="10"/>
  <c r="D27" i="10"/>
  <c r="D18" i="10"/>
  <c r="D17" i="10"/>
  <c r="D12" i="10"/>
  <c r="D24" i="10"/>
  <c r="F664" i="1"/>
  <c r="F672" i="1" s="1"/>
  <c r="C4" i="10" s="1"/>
  <c r="I667" i="1"/>
  <c r="H656" i="1"/>
  <c r="C41" i="10"/>
  <c r="D38" i="10" s="1"/>
  <c r="D28" i="10" l="1"/>
  <c r="F667" i="1"/>
  <c r="D37" i="10"/>
  <c r="D36" i="10"/>
  <c r="D35" i="10"/>
  <c r="D40" i="10"/>
  <c r="D39" i="10"/>
  <c r="D41" i="10" l="1"/>
  <c r="C22" i="12"/>
  <c r="A22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<sst xmlns="http://schemas.openxmlformats.org/spreadsheetml/2006/main" count="3955" uniqueCount="913">
  <si>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</si>
  <si>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</si>
  <si>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</si>
  <si>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</si>
  <si>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</si>
  <si>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</si>
  <si>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</si>
  <si>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</si>
  <si>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</si>
  <si>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</si>
  <si>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</si>
  <si>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</si>
  <si>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</si>
  <si>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</si>
  <si>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</si>
  <si>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</si>
  <si>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</si>
  <si>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</si>
  <si>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</si>
  <si>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</si>
  <si>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</si>
  <si>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</si>
  <si>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</si>
  <si>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</si>
  <si>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</si>
  <si>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</si>
  <si>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</si>
  <si>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</si>
  <si>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</si>
  <si>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</si>
  <si>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</si>
  <si>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</si>
  <si>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</si>
  <si>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</si>
  <si>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</si>
  <si>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</si>
  <si>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</si>
  <si>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</si>
  <si>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</si>
  <si>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</si>
  <si>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</si>
  <si>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</si>
  <si>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</si>
  <si>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</si>
  <si>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</si>
  <si>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</si>
  <si>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</si>
  <si>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</si>
  <si>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</si>
  <si>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</si>
  <si>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</si>
  <si>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</si>
  <si>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</si>
  <si>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</si>
  <si>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</si>
  <si>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</si>
  <si>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</si>
  <si>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</si>
  <si>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</si>
  <si>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</si>
  <si>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</si>
  <si>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</si>
  <si>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</si>
  <si>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</si>
  <si>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</si>
  <si>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</si>
  <si>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</si>
  <si>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</si>
  <si>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</si>
  <si>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</si>
  <si>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</si>
  <si>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</si>
  <si>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</si>
  <si>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</si>
  <si>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</si>
  <si>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</si>
  <si>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</si>
  <si>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</si>
  <si>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</si>
  <si>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</si>
  <si>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</si>
  <si>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</si>
  <si>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</si>
  <si>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</si>
  <si>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</si>
  <si>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</si>
  <si>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</si>
  <si>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</si>
  <si>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</si>
  <si>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</si>
  <si>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</si>
  <si>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</si>
  <si>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</si>
  <si>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</si>
  <si>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</si>
  <si>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</si>
  <si>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</si>
  <si>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</si>
  <si>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</si>
  <si>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</si>
  <si>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</si>
  <si>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</si>
  <si>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</si>
  <si>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</si>
  <si>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</si>
  <si>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</si>
  <si>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</si>
  <si>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</si>
  <si>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</si>
  <si>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</si>
  <si>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</si>
  <si>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</si>
  <si>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</si>
  <si>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</si>
  <si>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</si>
  <si>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</si>
  <si>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</si>
  <si>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</si>
  <si>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</si>
  <si>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</si>
  <si>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</si>
  <si>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</si>
  <si>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</si>
  <si>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</si>
  <si>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</si>
  <si>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</si>
  <si>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</si>
  <si>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</si>
  <si>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</si>
  <si>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</si>
  <si>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</si>
  <si>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</si>
  <si>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</si>
  <si>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</si>
  <si>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</si>
  <si>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</si>
  <si>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</si>
  <si>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</si>
  <si>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</si>
  <si>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</si>
  <si>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</si>
  <si>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</si>
  <si>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</si>
  <si>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</si>
  <si>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</si>
  <si>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</si>
  <si>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</si>
  <si>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</si>
  <si>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</si>
  <si>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</si>
  <si>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</si>
  <si>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</si>
  <si>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</si>
  <si>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</si>
  <si>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</si>
  <si>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</si>
  <si>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</si>
  <si>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</si>
  <si>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</si>
  <si>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</si>
  <si>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</si>
  <si>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</si>
  <si>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</si>
  <si>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</si>
  <si>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</si>
  <si>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</si>
  <si>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</si>
  <si>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</si>
  <si>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</si>
  <si>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</si>
  <si>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</si>
  <si>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</si>
  <si>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</si>
  <si>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</si>
  <si>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</si>
  <si>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</si>
  <si>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</si>
  <si>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</si>
  <si>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</si>
  <si>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</si>
  <si>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</si>
  <si>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</si>
  <si>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</si>
  <si>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</si>
  <si>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</si>
  <si>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</si>
  <si>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</si>
  <si>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</si>
  <si>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</si>
  <si>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</si>
  <si>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</si>
  <si>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</si>
  <si>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</si>
  <si>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</si>
  <si>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</si>
  <si>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</si>
  <si>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</si>
  <si>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</si>
  <si>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</si>
  <si>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</si>
  <si>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</si>
  <si>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</si>
  <si>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</si>
  <si>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</si>
  <si>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</si>
  <si>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</si>
  <si>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</si>
  <si>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</si>
  <si>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</si>
  <si>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</si>
  <si>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</si>
  <si>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</si>
  <si>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</si>
  <si>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</si>
  <si>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</si>
  <si>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</si>
  <si>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</si>
  <si>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</si>
  <si>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</si>
  <si>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</si>
  <si>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</si>
  <si>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</si>
  <si>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</si>
  <si>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</si>
  <si>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</si>
  <si>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</si>
  <si>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</si>
  <si>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</si>
  <si>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</si>
  <si>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</si>
  <si>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</si>
  <si>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</si>
  <si>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</si>
  <si>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</si>
  <si>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</si>
  <si>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</si>
  <si>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</si>
  <si>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</si>
  <si>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</si>
  <si>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</si>
  <si>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</si>
  <si>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</si>
  <si>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</si>
  <si>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</si>
  <si>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</si>
  <si>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</si>
  <si>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</si>
  <si>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</si>
  <si>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</si>
  <si>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</si>
  <si>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</si>
  <si>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</si>
  <si>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</si>
  <si>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</si>
  <si>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</si>
  <si>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</si>
  <si>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</si>
  <si>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</si>
  <si>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</si>
  <si>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</si>
  <si>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</si>
  <si>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</si>
  <si>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</si>
  <si>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</si>
  <si>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</si>
  <si>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</si>
  <si>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</si>
  <si>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</si>
  <si>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</si>
  <si>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</si>
  <si>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</si>
  <si>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</si>
  <si>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</si>
  <si>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</si>
  <si>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</si>
  <si>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</si>
  <si>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</si>
  <si>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</si>
  <si>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</si>
  <si>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</si>
  <si>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</si>
  <si>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</si>
  <si>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</si>
  <si>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</si>
  <si>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</si>
  <si>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</si>
  <si>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</si>
  <si>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</si>
  <si>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</si>
  <si>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</si>
  <si>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</si>
  <si>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</si>
  <si>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</si>
  <si>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</si>
  <si>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</si>
  <si>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</si>
  <si>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</si>
  <si>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</si>
  <si>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</si>
  <si>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</si>
  <si>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</si>
  <si>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</si>
  <si>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</si>
  <si>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</si>
  <si>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</si>
  <si>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</si>
  <si>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</si>
  <si>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</si>
  <si>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</si>
  <si>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</si>
  <si>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</si>
  <si>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</si>
  <si>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</si>
  <si>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</si>
  <si>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</si>
  <si>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</si>
  <si>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</si>
  <si>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</si>
  <si>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</si>
  <si>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</si>
  <si>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</si>
  <si>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</si>
  <si>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</si>
  <si>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</si>
  <si>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</si>
  <si>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</si>
  <si>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</si>
  <si>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</si>
  <si>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</si>
  <si>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</si>
  <si>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</si>
  <si>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</si>
  <si>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</si>
  <si>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</si>
  <si>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</si>
  <si>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</si>
  <si>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</si>
  <si>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</si>
  <si>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</si>
  <si>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</si>
  <si>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</si>
  <si>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</si>
  <si>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</si>
  <si>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</si>
  <si>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</si>
  <si>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</si>
  <si>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</si>
  <si>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</si>
  <si>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</si>
  <si>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</si>
  <si>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</si>
  <si>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</si>
  <si>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</si>
  <si>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</si>
  <si>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</si>
  <si>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</si>
  <si>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</si>
  <si>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</si>
  <si>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</si>
  <si>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</si>
  <si>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</si>
  <si>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</si>
  <si>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</si>
  <si>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</si>
  <si>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</si>
  <si>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</si>
  <si>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</si>
  <si>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</si>
  <si>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</si>
  <si>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</si>
  <si>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</si>
  <si>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</si>
  <si>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</si>
  <si>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</si>
  <si>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</si>
  <si>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</si>
  <si>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</si>
  <si>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</si>
  <si>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</si>
  <si>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</si>
  <si>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</si>
  <si>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</si>
  <si>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</si>
  <si>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</si>
  <si>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</si>
  <si>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</si>
  <si>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</si>
  <si>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</si>
  <si>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</si>
  <si>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</si>
  <si>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</si>
  <si>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</si>
  <si>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</si>
  <si>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</si>
  <si>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</si>
  <si>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</si>
  <si>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</si>
  <si>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</si>
  <si>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</si>
  <si>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</si>
  <si>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</si>
  <si>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</si>
  <si>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</si>
  <si>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</si>
  <si>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</si>
  <si>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</si>
  <si>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</si>
  <si>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</si>
  <si>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</si>
  <si>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</si>
  <si>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</si>
  <si>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</si>
  <si>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</si>
  <si>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</si>
  <si>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</si>
  <si>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</si>
  <si>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</si>
  <si>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</si>
  <si>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</si>
  <si>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</si>
  <si>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</si>
  <si>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</si>
  <si>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</si>
  <si>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</si>
  <si>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</si>
  <si>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</si>
  <si>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</si>
  <si>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</si>
  <si>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</si>
  <si>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</si>
  <si>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</si>
  <si>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</si>
  <si>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</si>
  <si>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</si>
  <si>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</si>
  <si>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</si>
  <si>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</si>
  <si>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</si>
  <si>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</si>
  <si>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</si>
  <si>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</si>
  <si>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</si>
  <si>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</si>
  <si>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</si>
  <si>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</si>
  <si>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</si>
  <si>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</si>
  <si>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</si>
  <si>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</si>
  <si>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</si>
  <si>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</si>
  <si>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</si>
  <si>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</si>
  <si>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</si>
  <si>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</si>
  <si>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</si>
  <si>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</si>
  <si>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</si>
  <si>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</si>
  <si>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</si>
  <si>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</si>
  <si>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</si>
  <si>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</si>
  <si>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</si>
  <si>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</si>
  <si>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</si>
  <si>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</si>
  <si>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</si>
  <si>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</si>
  <si>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</si>
  <si>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</si>
  <si>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</si>
  <si>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</si>
  <si>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</si>
  <si>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</si>
  <si>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</si>
  <si>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</si>
  <si>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</si>
  <si>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</si>
  <si>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</si>
  <si>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</si>
  <si>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</si>
  <si>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</si>
  <si>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</si>
  <si>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</si>
  <si>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</si>
  <si>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</si>
  <si>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</si>
  <si>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</si>
  <si>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</si>
  <si>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</si>
  <si>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</si>
  <si>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</si>
  <si>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</si>
  <si>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</si>
  <si>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</si>
  <si>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</si>
  <si>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</si>
  <si>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</si>
  <si>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</si>
  <si>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</si>
  <si>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</si>
  <si>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</si>
  <si>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</si>
  <si>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</si>
  <si>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</si>
  <si>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</si>
  <si>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</si>
  <si>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</si>
  <si>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</si>
  <si>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</si>
  <si>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</si>
  <si>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</si>
  <si>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</si>
  <si>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</si>
  <si>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</si>
  <si>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</si>
  <si>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</si>
  <si>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</si>
  <si>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</si>
  <si>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</si>
  <si>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</si>
  <si>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</si>
  <si>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</si>
  <si>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</si>
  <si>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</si>
  <si>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</si>
  <si>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</si>
  <si>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</si>
  <si>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</si>
  <si>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</si>
  <si>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</si>
  <si>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</si>
  <si>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</si>
  <si>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</si>
  <si>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</si>
  <si>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</si>
  <si>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</si>
  <si>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</si>
  <si>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</si>
  <si>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</si>
  <si>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</si>
  <si>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</si>
  <si>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</si>
  <si>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</si>
  <si>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</si>
  <si>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</si>
  <si>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</si>
  <si>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</si>
  <si>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</si>
  <si>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</si>
  <si>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</si>
  <si>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</si>
  <si>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</si>
  <si>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</si>
  <si>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</si>
  <si>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</si>
  <si>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</si>
  <si>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</si>
  <si>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</si>
  <si>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</si>
  <si>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</si>
  <si>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</si>
  <si>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</si>
  <si>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</si>
  <si>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</si>
  <si>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</si>
  <si>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</si>
  <si>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</si>
  <si>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</si>
  <si>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</si>
  <si>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</si>
  <si>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</si>
  <si>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</si>
  <si>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</si>
  <si>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</si>
  <si>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</si>
  <si>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</si>
  <si>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</si>
  <si>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</si>
  <si>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</si>
  <si>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</si>
  <si>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</si>
  <si>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</si>
  <si>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</si>
  <si>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</si>
  <si>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</si>
  <si>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</si>
  <si>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</si>
  <si>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</si>
  <si>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</si>
  <si>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</si>
  <si>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</si>
  <si>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</si>
  <si>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</si>
  <si>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</si>
  <si>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</si>
  <si>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</si>
  <si>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</si>
  <si>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</si>
  <si>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</si>
  <si>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</si>
  <si>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</si>
  <si>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</si>
  <si>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</si>
  <si>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</si>
  <si>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</si>
  <si>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</si>
  <si>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</si>
  <si>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</si>
  <si>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</si>
  <si>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</si>
  <si>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</si>
  <si>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</si>
  <si>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</si>
  <si>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</si>
  <si>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</si>
  <si>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</si>
  <si>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</si>
  <si>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</si>
  <si>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</si>
  <si>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</si>
  <si>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</si>
  <si>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</si>
  <si>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</si>
  <si>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</si>
  <si>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</si>
  <si>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</si>
  <si>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</si>
  <si>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</si>
  <si>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</si>
  <si>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</si>
  <si>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</si>
  <si>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</si>
  <si>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</si>
  <si>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</si>
  <si>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</si>
  <si>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</si>
  <si>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</si>
  <si>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</si>
  <si>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</si>
  <si>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</si>
  <si>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</si>
  <si>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</si>
  <si>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</si>
  <si>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</si>
  <si>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</si>
  <si>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</si>
  <si>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</si>
  <si>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</si>
  <si>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</si>
  <si>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</si>
  <si>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</si>
  <si>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</si>
  <si>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</si>
  <si>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</si>
  <si>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</si>
  <si>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</si>
  <si>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</si>
  <si>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</si>
  <si>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</si>
  <si>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</si>
  <si>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</si>
  <si>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</si>
  <si>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</si>
  <si>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</si>
  <si>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</si>
  <si>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</si>
  <si>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</si>
  <si>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</si>
  <si>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</si>
  <si>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</si>
  <si>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</si>
  <si>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</si>
  <si>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</si>
  <si>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</si>
  <si>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</si>
  <si>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</si>
  <si>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</si>
  <si>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</si>
  <si>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</si>
  <si>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</si>
  <si>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</si>
  <si>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</si>
  <si>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</si>
  <si>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</si>
  <si>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</si>
  <si>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</si>
  <si>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</si>
  <si>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</si>
  <si>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</si>
  <si>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</si>
  <si>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</si>
  <si>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</si>
  <si>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</si>
  <si>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</si>
  <si>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</si>
  <si>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</si>
  <si>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</si>
  <si>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</si>
  <si>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</si>
  <si>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</si>
  <si>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</si>
  <si>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</si>
  <si>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</si>
  <si>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</si>
  <si>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</si>
  <si>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</si>
  <si>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</si>
  <si>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</si>
  <si>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</si>
  <si>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</si>
  <si>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</si>
  <si>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</si>
  <si>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</si>
  <si>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</si>
  <si>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</si>
  <si>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</si>
  <si>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</si>
  <si>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</si>
  <si>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</si>
  <si>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</si>
  <si>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</si>
  <si>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</si>
  <si>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</si>
  <si>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</si>
  <si>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</si>
  <si>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</si>
  <si>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</si>
  <si>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</si>
  <si>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</si>
  <si>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</si>
  <si>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</si>
  <si>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</si>
  <si>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</si>
  <si>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</si>
  <si>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</si>
  <si>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</si>
  <si>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</si>
  <si>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</si>
  <si>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</si>
  <si>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</si>
  <si>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</si>
  <si>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</si>
  <si>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</si>
  <si>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</si>
  <si>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</si>
  <si>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</si>
  <si>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</si>
  <si>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</si>
  <si>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</si>
  <si>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</si>
  <si>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</si>
  <si>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</si>
  <si>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</si>
  <si>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</si>
  <si>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</si>
  <si>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</si>
  <si>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</si>
  <si>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</si>
  <si>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</si>
  <si>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</si>
  <si>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</si>
  <si>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</si>
  <si>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</si>
  <si>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</si>
  <si>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</si>
  <si>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</si>
  <si>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</si>
  <si>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</si>
  <si>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</si>
  <si>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</si>
  <si>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</si>
  <si>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</si>
  <si>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</si>
  <si>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</si>
  <si>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</si>
  <si>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</si>
  <si>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</si>
  <si>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</si>
  <si>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</si>
  <si>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</si>
  <si>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</si>
  <si>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</si>
  <si>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</si>
  <si>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</si>
  <si>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</si>
  <si>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</si>
  <si>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</si>
  <si>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</si>
  <si>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</si>
  <si>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</si>
  <si>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</si>
  <si>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</si>
  <si>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</si>
  <si>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</si>
  <si>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</si>
  <si>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</si>
  <si>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</si>
  <si>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</si>
  <si>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</si>
  <si>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</si>
  <si>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</si>
  <si>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</si>
  <si>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</si>
  <si>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</si>
  <si>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</si>
  <si>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</si>
  <si>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</si>
  <si>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</si>
  <si>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</si>
  <si>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</si>
  <si>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</si>
  <si>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</si>
  <si>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</si>
  <si>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</si>
  <si>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</si>
  <si>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</si>
  <si>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</si>
  <si>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</si>
  <si>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</si>
  <si>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</si>
  <si>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</si>
  <si>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</si>
  <si>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</si>
  <si>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</si>
  <si>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</si>
  <si>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</si>
  <si>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</si>
  <si>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</si>
  <si>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</si>
  <si>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</si>
  <si>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</si>
  <si>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</si>
  <si>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</si>
  <si>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</si>
  <si>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</si>
  <si>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</si>
  <si>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</si>
  <si>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</si>
  <si>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</si>
  <si>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</si>
  <si>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</si>
  <si>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</si>
  <si>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</si>
  <si>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</si>
  <si>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</si>
  <si>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</si>
  <si>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</si>
  <si>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</si>
  <si>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</si>
  <si>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</si>
  <si>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</si>
  <si>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</si>
  <si>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</si>
  <si>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</si>
  <si>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</si>
  <si>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</si>
  <si>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</si>
  <si>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</si>
  <si>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</si>
  <si>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</si>
  <si>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</si>
  <si>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</si>
  <si>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</si>
  <si>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</si>
  <si>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</si>
  <si>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</si>
  <si>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</si>
  <si>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</si>
  <si>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</si>
  <si>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</si>
  <si>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</si>
  <si>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</si>
  <si>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</si>
  <si>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</si>
  <si>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</si>
  <si>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</si>
  <si>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</si>
  <si>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</si>
  <si>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</si>
  <si>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</si>
  <si>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</si>
  <si>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</si>
  <si>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</si>
  <si>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</si>
  <si>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</si>
  <si>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</si>
  <si>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</si>
  <si>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</si>
  <si>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</si>
  <si>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</si>
  <si>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</si>
  <si>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</si>
  <si>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</si>
  <si>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</si>
  <si>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</si>
  <si>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</si>
  <si>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</si>
  <si>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</si>
  <si>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</si>
  <si>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</si>
  <si>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</si>
  <si>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</si>
  <si>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</si>
  <si>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</si>
  <si>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</si>
  <si>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</si>
  <si>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</si>
  <si>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</si>
  <si>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</si>
  <si>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</si>
  <si>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BATH VILLAGE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</si>
</sst>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39</v>
      </c>
      <c r="C2" s="21">
        <v>39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237342.58+100</f>
        <v>237442.58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113822.67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7622.34</f>
        <v>7622.34</v>
      </c>
      <c r="G12" s="18">
        <v>5494.64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9520.3700000000008</v>
      </c>
      <c r="G13" s="18">
        <v>1238.54</v>
      </c>
      <c r="H13" s="18">
        <v>28599.59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f>2074.71+1135.31+1928.31</f>
        <v>5138.33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259723.61999999997</v>
      </c>
      <c r="G19" s="41">
        <f>SUM(G9:G18)</f>
        <v>6733.18</v>
      </c>
      <c r="H19" s="41">
        <f>SUM(H9:H18)</f>
        <v>28599.59</v>
      </c>
      <c r="I19" s="41">
        <f>SUM(I9:I18)</f>
        <v>0</v>
      </c>
      <c r="J19" s="41">
        <f>SUM(J9:J18)</f>
        <v>113822.67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13116.98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192224.04+3474.6+23260.07+227-20000</f>
        <v>199185.71000000002</v>
      </c>
      <c r="G24" s="18">
        <v>6664.15</v>
      </c>
      <c r="H24" s="18">
        <f>8430.41+5243.46</f>
        <v>13673.869999999999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259.17+22+16.8+26.26</f>
        <v>324.23</v>
      </c>
      <c r="G29" s="18"/>
      <c r="H29" s="18">
        <f>423.5+1.2+2.02</f>
        <v>426.71999999999997</v>
      </c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>
        <v>183.32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199509.94000000003</v>
      </c>
      <c r="G32" s="41">
        <f>SUM(G22:G31)</f>
        <v>6664.15</v>
      </c>
      <c r="H32" s="41">
        <f>SUM(H22:H31)</f>
        <v>27400.89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69.03</v>
      </c>
      <c r="H48" s="18">
        <v>1198.7</v>
      </c>
      <c r="I48" s="18"/>
      <c r="J48" s="13">
        <f>SUM(I459)</f>
        <v>113822.67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30583.84+(2144916.06-2134746.98-227)-312.24</f>
        <v>40213.680000000073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60213.680000000073</v>
      </c>
      <c r="G51" s="41">
        <f>SUM(G35:G50)</f>
        <v>69.03</v>
      </c>
      <c r="H51" s="41">
        <f>SUM(H35:H50)</f>
        <v>1198.7</v>
      </c>
      <c r="I51" s="41">
        <f>SUM(I35:I50)</f>
        <v>0</v>
      </c>
      <c r="J51" s="41">
        <f>SUM(J35:J50)</f>
        <v>113822.67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259723.62000000011</v>
      </c>
      <c r="G52" s="41">
        <f>G51+G32</f>
        <v>6733.1799999999994</v>
      </c>
      <c r="H52" s="41">
        <f>H51+H32</f>
        <v>28599.59</v>
      </c>
      <c r="I52" s="41">
        <f>I51+I32</f>
        <v>0</v>
      </c>
      <c r="J52" s="41">
        <f>J51+J32</f>
        <v>113822.67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1409594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1409594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10395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10395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113.88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13625.69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1005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154.29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756.84</v>
      </c>
      <c r="G110" s="18">
        <v>1336.42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1025.01</v>
      </c>
      <c r="G111" s="41">
        <f>SUM(G96:G110)</f>
        <v>14962.11</v>
      </c>
      <c r="H111" s="41">
        <f>SUM(H96:H110)</f>
        <v>1005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1421014.01</v>
      </c>
      <c r="G112" s="41">
        <f>G60+G111</f>
        <v>14962.11</v>
      </c>
      <c r="H112" s="41">
        <f>H60+H79+H94+H111</f>
        <v>1005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483220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228133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711353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3214.46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424.32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498.11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3638.78</v>
      </c>
      <c r="G136" s="41">
        <f>SUM(G123:G135)</f>
        <v>498.11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714991.78</v>
      </c>
      <c r="G140" s="41">
        <f>G121+SUM(G136:G137)</f>
        <v>498.11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34590.33</f>
        <v>34590.33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4971.08+2250</f>
        <v>7221.08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2742.33+17639.93</f>
        <v>20382.260000000002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8679.74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8679.74</v>
      </c>
      <c r="G162" s="41">
        <f>SUM(G150:G161)</f>
        <v>20382.260000000002</v>
      </c>
      <c r="H162" s="41">
        <f>SUM(H150:H161)</f>
        <v>41811.410000000003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230.53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8910.27</v>
      </c>
      <c r="G169" s="41">
        <f>G147+G162+SUM(G163:G168)</f>
        <v>20382.260000000002</v>
      </c>
      <c r="H169" s="41">
        <f>H147+H162+SUM(H163:H168)</f>
        <v>41811.410000000003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18613.46</v>
      </c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18613.46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18613.46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2144916.06</v>
      </c>
      <c r="G193" s="47">
        <f>G112+G140+G169+G192</f>
        <v>54455.94</v>
      </c>
      <c r="H193" s="47">
        <f>H112+H140+H169+H192</f>
        <v>42816.41</v>
      </c>
      <c r="I193" s="47">
        <f>I112+I140+I169+I192</f>
        <v>0</v>
      </c>
      <c r="J193" s="47">
        <f>J112+J140+J192</f>
        <v>20000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317087.74</v>
      </c>
      <c r="G197" s="18">
        <v>129187.44</v>
      </c>
      <c r="H197" s="18">
        <v>53026.85</v>
      </c>
      <c r="I197" s="18">
        <v>16438.78</v>
      </c>
      <c r="J197" s="18">
        <v>1457</v>
      </c>
      <c r="K197" s="18">
        <v>1081.03</v>
      </c>
      <c r="L197" s="19">
        <f>SUM(F197:K197)</f>
        <v>518278.83999999997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60570.15</v>
      </c>
      <c r="G198" s="18">
        <v>28542.63</v>
      </c>
      <c r="H198" s="18">
        <v>14917.64</v>
      </c>
      <c r="I198" s="18">
        <v>339.24</v>
      </c>
      <c r="J198" s="18"/>
      <c r="K198" s="18"/>
      <c r="L198" s="19">
        <f>SUM(F198:K198)</f>
        <v>104369.66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6199.99</v>
      </c>
      <c r="G200" s="18">
        <v>1173.1600000000001</v>
      </c>
      <c r="H200" s="18">
        <v>200</v>
      </c>
      <c r="I200" s="18">
        <v>133.44</v>
      </c>
      <c r="J200" s="18"/>
      <c r="K200" s="18">
        <v>1977.5</v>
      </c>
      <c r="L200" s="19">
        <f>SUM(F200:K200)</f>
        <v>9684.09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13822.76</v>
      </c>
      <c r="G202" s="18">
        <v>-405.08</v>
      </c>
      <c r="H202" s="18">
        <f>30701.52+648.75</f>
        <v>31350.27</v>
      </c>
      <c r="I202" s="18">
        <v>3342.25</v>
      </c>
      <c r="J202" s="18">
        <v>959</v>
      </c>
      <c r="K202" s="18"/>
      <c r="L202" s="19">
        <f t="shared" ref="L202:L208" si="0">SUM(F202:K202)</f>
        <v>49069.2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13335.95</v>
      </c>
      <c r="G203" s="18">
        <v>1165.45</v>
      </c>
      <c r="H203" s="18">
        <f>4014.72+198.64</f>
        <v>4213.3599999999997</v>
      </c>
      <c r="I203" s="18">
        <v>6009.27</v>
      </c>
      <c r="J203" s="18"/>
      <c r="K203" s="18"/>
      <c r="L203" s="19">
        <f t="shared" si="0"/>
        <v>24724.030000000002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1784.05</v>
      </c>
      <c r="G204" s="18">
        <v>136.58000000000001</v>
      </c>
      <c r="H204" s="18">
        <f>69001.88+1657.47</f>
        <v>70659.350000000006</v>
      </c>
      <c r="I204" s="18">
        <v>61.2</v>
      </c>
      <c r="J204" s="18"/>
      <c r="K204" s="18">
        <v>1207.08</v>
      </c>
      <c r="L204" s="19">
        <f t="shared" si="0"/>
        <v>73848.260000000009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92171.15</v>
      </c>
      <c r="G205" s="18">
        <v>32085.29</v>
      </c>
      <c r="H205" s="18">
        <v>1969.49</v>
      </c>
      <c r="I205" s="18">
        <v>3088.35</v>
      </c>
      <c r="J205" s="18"/>
      <c r="K205" s="18"/>
      <c r="L205" s="19">
        <f t="shared" si="0"/>
        <v>129314.28000000001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30102.28</v>
      </c>
      <c r="G207" s="18">
        <v>14508.54</v>
      </c>
      <c r="H207" s="18">
        <f>14971.3+34938+871</f>
        <v>50780.3</v>
      </c>
      <c r="I207" s="18">
        <v>38075.74</v>
      </c>
      <c r="J207" s="18">
        <v>232</v>
      </c>
      <c r="K207" s="18">
        <v>200</v>
      </c>
      <c r="L207" s="19">
        <f t="shared" si="0"/>
        <v>133898.85999999999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60820.84+227</f>
        <v>61047.839999999997</v>
      </c>
      <c r="I208" s="18"/>
      <c r="J208" s="18"/>
      <c r="K208" s="18"/>
      <c r="L208" s="19">
        <f t="shared" si="0"/>
        <v>61047.839999999997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1823.5+32.5+1986.02+411</f>
        <v>4253.0200000000004</v>
      </c>
      <c r="I209" s="18">
        <v>180.89</v>
      </c>
      <c r="J209" s="18">
        <v>2003.54</v>
      </c>
      <c r="K209" s="18">
        <v>201.27</v>
      </c>
      <c r="L209" s="19">
        <f>SUM(F209:K209)</f>
        <v>6638.7200000000012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535074.07000000007</v>
      </c>
      <c r="G211" s="41">
        <f t="shared" si="1"/>
        <v>206394.01000000004</v>
      </c>
      <c r="H211" s="41">
        <f t="shared" si="1"/>
        <v>292418.12</v>
      </c>
      <c r="I211" s="41">
        <f t="shared" si="1"/>
        <v>67669.159999999989</v>
      </c>
      <c r="J211" s="41">
        <f t="shared" si="1"/>
        <v>4651.54</v>
      </c>
      <c r="K211" s="41">
        <f t="shared" si="1"/>
        <v>4666.88</v>
      </c>
      <c r="L211" s="41">
        <f t="shared" si="1"/>
        <v>1110873.78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252735.49</v>
      </c>
      <c r="I215" s="18"/>
      <c r="J215" s="18"/>
      <c r="K215" s="18"/>
      <c r="L215" s="19">
        <f>SUM(F215:K215)</f>
        <v>252735.49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57737.05</v>
      </c>
      <c r="I216" s="18"/>
      <c r="J216" s="18"/>
      <c r="K216" s="18"/>
      <c r="L216" s="19">
        <f>SUM(F216:K216)</f>
        <v>57737.05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>
        <v>487.5</v>
      </c>
      <c r="I220" s="18"/>
      <c r="J220" s="18"/>
      <c r="K220" s="18"/>
      <c r="L220" s="19">
        <f t="shared" ref="L220:L226" si="2">SUM(F220:K220)</f>
        <v>487.5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470.11</v>
      </c>
      <c r="G222" s="18">
        <v>36.18</v>
      </c>
      <c r="H222" s="18">
        <f>18209.57+361.34</f>
        <v>18570.91</v>
      </c>
      <c r="I222" s="18"/>
      <c r="J222" s="18"/>
      <c r="K222" s="18">
        <v>318.85000000000002</v>
      </c>
      <c r="L222" s="19">
        <f t="shared" si="2"/>
        <v>19396.05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21377.85</v>
      </c>
      <c r="I226" s="18"/>
      <c r="J226" s="18"/>
      <c r="K226" s="18"/>
      <c r="L226" s="19">
        <f t="shared" si="2"/>
        <v>21377.85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470.11</v>
      </c>
      <c r="G229" s="41">
        <f>SUM(G215:G228)</f>
        <v>36.18</v>
      </c>
      <c r="H229" s="41">
        <f>SUM(H215:H228)</f>
        <v>350908.79999999993</v>
      </c>
      <c r="I229" s="41">
        <f>SUM(I215:I228)</f>
        <v>0</v>
      </c>
      <c r="J229" s="41">
        <f>SUM(J215:J228)</f>
        <v>0</v>
      </c>
      <c r="K229" s="41">
        <f t="shared" si="3"/>
        <v>318.85000000000002</v>
      </c>
      <c r="L229" s="41">
        <f t="shared" si="3"/>
        <v>351733.93999999994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501466.38</v>
      </c>
      <c r="I233" s="18"/>
      <c r="J233" s="18"/>
      <c r="K233" s="18"/>
      <c r="L233" s="19">
        <f>SUM(F233:K233)</f>
        <v>501466.38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11251.94</v>
      </c>
      <c r="I234" s="18"/>
      <c r="J234" s="18"/>
      <c r="K234" s="18"/>
      <c r="L234" s="19">
        <f>SUM(F234:K234)</f>
        <v>11251.94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13602.55</v>
      </c>
      <c r="I235" s="18"/>
      <c r="J235" s="18"/>
      <c r="K235" s="18"/>
      <c r="L235" s="19">
        <f>SUM(F235:K235)</f>
        <v>13602.55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445</v>
      </c>
      <c r="I238" s="18"/>
      <c r="J238" s="18"/>
      <c r="K238" s="18"/>
      <c r="L238" s="19">
        <f t="shared" ref="L238:L244" si="4">SUM(F238:K238)</f>
        <v>445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945.84</v>
      </c>
      <c r="G240" s="18">
        <v>72.25</v>
      </c>
      <c r="H240" s="18">
        <f>42771.99+830.79</f>
        <v>43602.78</v>
      </c>
      <c r="I240" s="18"/>
      <c r="J240" s="18"/>
      <c r="K240" s="18">
        <v>751.57</v>
      </c>
      <c r="L240" s="19">
        <f t="shared" si="4"/>
        <v>45372.439999999995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34804.89</v>
      </c>
      <c r="I244" s="18"/>
      <c r="J244" s="18"/>
      <c r="K244" s="18"/>
      <c r="L244" s="19">
        <f t="shared" si="4"/>
        <v>34804.89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945.84</v>
      </c>
      <c r="G247" s="41">
        <f t="shared" si="5"/>
        <v>72.25</v>
      </c>
      <c r="H247" s="41">
        <f t="shared" si="5"/>
        <v>605173.54</v>
      </c>
      <c r="I247" s="41">
        <f t="shared" si="5"/>
        <v>0</v>
      </c>
      <c r="J247" s="41">
        <f t="shared" si="5"/>
        <v>0</v>
      </c>
      <c r="K247" s="41">
        <f t="shared" si="5"/>
        <v>751.57</v>
      </c>
      <c r="L247" s="41">
        <f t="shared" si="5"/>
        <v>606943.19999999995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536490.02</v>
      </c>
      <c r="G257" s="41">
        <f t="shared" si="8"/>
        <v>206502.44000000003</v>
      </c>
      <c r="H257" s="41">
        <f t="shared" si="8"/>
        <v>1248500.46</v>
      </c>
      <c r="I257" s="41">
        <f t="shared" si="8"/>
        <v>67669.159999999989</v>
      </c>
      <c r="J257" s="41">
        <f t="shared" si="8"/>
        <v>4651.54</v>
      </c>
      <c r="K257" s="41">
        <f t="shared" si="8"/>
        <v>5737.3</v>
      </c>
      <c r="L257" s="41">
        <f t="shared" si="8"/>
        <v>2069550.92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18613.46</v>
      </c>
      <c r="L263" s="19">
        <f>SUM(F263:K263)</f>
        <v>18613.46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6809.6</v>
      </c>
      <c r="L268" s="19">
        <f t="shared" si="9"/>
        <v>6809.6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45423.06</v>
      </c>
      <c r="L270" s="41">
        <f t="shared" si="9"/>
        <v>45423.06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536490.02</v>
      </c>
      <c r="G271" s="42">
        <f t="shared" si="11"/>
        <v>206502.44000000003</v>
      </c>
      <c r="H271" s="42">
        <f t="shared" si="11"/>
        <v>1248500.46</v>
      </c>
      <c r="I271" s="42">
        <f t="shared" si="11"/>
        <v>67669.159999999989</v>
      </c>
      <c r="J271" s="42">
        <f t="shared" si="11"/>
        <v>4651.54</v>
      </c>
      <c r="K271" s="42">
        <f t="shared" si="11"/>
        <v>51160.36</v>
      </c>
      <c r="L271" s="42">
        <f t="shared" si="11"/>
        <v>2114973.98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13425</v>
      </c>
      <c r="G276" s="18">
        <v>6376</v>
      </c>
      <c r="H276" s="18"/>
      <c r="I276" s="18">
        <v>6534.69</v>
      </c>
      <c r="J276" s="18">
        <f>7743.64+1005</f>
        <v>8748.64</v>
      </c>
      <c r="K276" s="18"/>
      <c r="L276" s="19">
        <f>SUM(F276:K276)</f>
        <v>35084.33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f>4971.08</f>
        <v>4971.08</v>
      </c>
      <c r="H282" s="18">
        <v>2250</v>
      </c>
      <c r="I282" s="18"/>
      <c r="J282" s="18"/>
      <c r="K282" s="18"/>
      <c r="L282" s="19">
        <f t="shared" si="12"/>
        <v>7221.08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511</v>
      </c>
      <c r="L283" s="19">
        <f t="shared" si="12"/>
        <v>511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13425</v>
      </c>
      <c r="G290" s="42">
        <f t="shared" si="13"/>
        <v>11347.08</v>
      </c>
      <c r="H290" s="42">
        <f t="shared" si="13"/>
        <v>2250</v>
      </c>
      <c r="I290" s="42">
        <f t="shared" si="13"/>
        <v>6534.69</v>
      </c>
      <c r="J290" s="42">
        <f t="shared" si="13"/>
        <v>8748.64</v>
      </c>
      <c r="K290" s="42">
        <f t="shared" si="13"/>
        <v>511</v>
      </c>
      <c r="L290" s="41">
        <f t="shared" si="13"/>
        <v>42816.41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13425</v>
      </c>
      <c r="G338" s="41">
        <f t="shared" si="20"/>
        <v>11347.08</v>
      </c>
      <c r="H338" s="41">
        <f t="shared" si="20"/>
        <v>2250</v>
      </c>
      <c r="I338" s="41">
        <f t="shared" si="20"/>
        <v>6534.69</v>
      </c>
      <c r="J338" s="41">
        <f t="shared" si="20"/>
        <v>8748.64</v>
      </c>
      <c r="K338" s="41">
        <f t="shared" si="20"/>
        <v>511</v>
      </c>
      <c r="L338" s="41">
        <f t="shared" si="20"/>
        <v>42816.41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13425</v>
      </c>
      <c r="G352" s="41">
        <f>G338</f>
        <v>11347.08</v>
      </c>
      <c r="H352" s="41">
        <f>H338</f>
        <v>2250</v>
      </c>
      <c r="I352" s="41">
        <f>I338</f>
        <v>6534.69</v>
      </c>
      <c r="J352" s="41">
        <f>J338</f>
        <v>8748.64</v>
      </c>
      <c r="K352" s="47">
        <f>K338+K351</f>
        <v>511</v>
      </c>
      <c r="L352" s="41">
        <f>L338+L351</f>
        <v>42816.41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7010.53</v>
      </c>
      <c r="G358" s="18">
        <v>536.41</v>
      </c>
      <c r="H358" s="18">
        <v>46909</v>
      </c>
      <c r="I358" s="18"/>
      <c r="J358" s="18"/>
      <c r="K358" s="18"/>
      <c r="L358" s="13">
        <f>SUM(F358:K358)</f>
        <v>54455.94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7010.53</v>
      </c>
      <c r="G362" s="47">
        <f t="shared" si="22"/>
        <v>536.41</v>
      </c>
      <c r="H362" s="47">
        <f t="shared" si="22"/>
        <v>46909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54455.94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/>
      <c r="I396" s="18"/>
      <c r="J396" s="24" t="s">
        <v>289</v>
      </c>
      <c r="K396" s="24" t="s">
        <v>289</v>
      </c>
      <c r="L396" s="56">
        <f t="shared" si="26"/>
        <v>20000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113822.67</f>
        <v>113822.67</v>
      </c>
      <c r="H440" s="18"/>
      <c r="I440" s="56">
        <f t="shared" si="33"/>
        <v>113822.67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113822.67</v>
      </c>
      <c r="H446" s="13">
        <f>SUM(H439:H445)</f>
        <v>0</v>
      </c>
      <c r="I446" s="13">
        <f>SUM(I439:I445)</f>
        <v>113822.67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93822.67+20000</f>
        <v>113822.67</v>
      </c>
      <c r="H459" s="18"/>
      <c r="I459" s="56">
        <f t="shared" si="34"/>
        <v>113822.67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113822.67</v>
      </c>
      <c r="H460" s="83">
        <f>SUM(H454:H459)</f>
        <v>0</v>
      </c>
      <c r="I460" s="83">
        <f>SUM(I454:I459)</f>
        <v>113822.67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113822.67</v>
      </c>
      <c r="H461" s="42">
        <f>H452+H460</f>
        <v>0</v>
      </c>
      <c r="I461" s="42">
        <f>I452+I460</f>
        <v>113822.67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f>411+3431+26429.6</f>
        <v>30271.599999999999</v>
      </c>
      <c r="G465" s="18">
        <v>69.03</v>
      </c>
      <c r="H465" s="18">
        <v>1198.7</v>
      </c>
      <c r="I465" s="18">
        <v>0</v>
      </c>
      <c r="J465" s="18">
        <v>93822.67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2144916.06</v>
      </c>
      <c r="G468" s="18">
        <v>54455.94</v>
      </c>
      <c r="H468" s="18">
        <v>42816.41</v>
      </c>
      <c r="I468" s="18">
        <v>0</v>
      </c>
      <c r="J468" s="18">
        <v>20000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2144916.06</v>
      </c>
      <c r="G470" s="53">
        <f>SUM(G468:G469)</f>
        <v>54455.94</v>
      </c>
      <c r="H470" s="53">
        <f>SUM(H468:H469)</f>
        <v>42816.41</v>
      </c>
      <c r="I470" s="53">
        <f>SUM(I468:I469)</f>
        <v>0</v>
      </c>
      <c r="J470" s="53">
        <f>SUM(J468:J469)</f>
        <v>20000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2134746.98+227-20000</f>
        <v>2114973.98</v>
      </c>
      <c r="G472" s="18">
        <v>54455.94</v>
      </c>
      <c r="H472" s="18">
        <v>42816.41</v>
      </c>
      <c r="I472" s="18">
        <v>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2114973.98</v>
      </c>
      <c r="G474" s="53">
        <f>SUM(G472:G473)</f>
        <v>54455.94</v>
      </c>
      <c r="H474" s="53">
        <f>SUM(H472:H473)</f>
        <v>42816.41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60213.680000000168</v>
      </c>
      <c r="G476" s="53">
        <f>(G465+G470)- G474</f>
        <v>69.029999999998836</v>
      </c>
      <c r="H476" s="53">
        <f>(H465+H470)- H474</f>
        <v>1198.6999999999971</v>
      </c>
      <c r="I476" s="53">
        <f>(I465+I470)- I474</f>
        <v>0</v>
      </c>
      <c r="J476" s="53">
        <f>(J465+J470)- J474</f>
        <v>113822.67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60570.15</v>
      </c>
      <c r="G521" s="18">
        <v>28542.63</v>
      </c>
      <c r="H521" s="18">
        <v>14917.64</v>
      </c>
      <c r="I521" s="18">
        <v>339.24</v>
      </c>
      <c r="J521" s="18"/>
      <c r="K521" s="18"/>
      <c r="L521" s="88">
        <f>SUM(F521:K521)</f>
        <v>104369.66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57737.05</v>
      </c>
      <c r="I522" s="18"/>
      <c r="J522" s="18"/>
      <c r="K522" s="18"/>
      <c r="L522" s="88">
        <f>SUM(F522:K522)</f>
        <v>57737.05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11251.94</v>
      </c>
      <c r="I523" s="18"/>
      <c r="J523" s="18"/>
      <c r="K523" s="18"/>
      <c r="L523" s="88">
        <f>SUM(F523:K523)</f>
        <v>11251.94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60570.15</v>
      </c>
      <c r="G524" s="108">
        <f t="shared" ref="G524:L524" si="36">SUM(G521:G523)</f>
        <v>28542.63</v>
      </c>
      <c r="H524" s="108">
        <f t="shared" si="36"/>
        <v>83906.63</v>
      </c>
      <c r="I524" s="108">
        <f t="shared" si="36"/>
        <v>339.24</v>
      </c>
      <c r="J524" s="108">
        <f t="shared" si="36"/>
        <v>0</v>
      </c>
      <c r="K524" s="108">
        <f t="shared" si="36"/>
        <v>0</v>
      </c>
      <c r="L524" s="89">
        <f t="shared" si="36"/>
        <v>173358.65000000002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15752.28</v>
      </c>
      <c r="I526" s="18"/>
      <c r="J526" s="18"/>
      <c r="K526" s="18"/>
      <c r="L526" s="88">
        <f>SUM(F526:K526)</f>
        <v>15752.28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487.5</v>
      </c>
      <c r="I527" s="18"/>
      <c r="J527" s="18"/>
      <c r="K527" s="18"/>
      <c r="L527" s="88">
        <f>SUM(F527:K527)</f>
        <v>487.5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445</v>
      </c>
      <c r="I528" s="18"/>
      <c r="J528" s="18"/>
      <c r="K528" s="18"/>
      <c r="L528" s="88">
        <f>SUM(F528:K528)</f>
        <v>445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16684.78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16684.78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14024.23</v>
      </c>
      <c r="I531" s="18"/>
      <c r="J531" s="18"/>
      <c r="K531" s="18"/>
      <c r="L531" s="88">
        <f>SUM(F531:K531)</f>
        <v>14024.23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3969.12</v>
      </c>
      <c r="I532" s="18"/>
      <c r="J532" s="18"/>
      <c r="K532" s="18"/>
      <c r="L532" s="88">
        <f>SUM(F532:K532)</f>
        <v>3969.12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8467.4599999999991</v>
      </c>
      <c r="I533" s="18"/>
      <c r="J533" s="18"/>
      <c r="K533" s="18"/>
      <c r="L533" s="88">
        <f>SUM(F533:K533)</f>
        <v>8467.4599999999991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26460.809999999998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26460.809999999998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7354.69</v>
      </c>
      <c r="I541" s="18"/>
      <c r="J541" s="18"/>
      <c r="K541" s="18"/>
      <c r="L541" s="88">
        <f>SUM(F541:K541)</f>
        <v>7354.69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2903.25</v>
      </c>
      <c r="I542" s="18"/>
      <c r="J542" s="18"/>
      <c r="K542" s="18"/>
      <c r="L542" s="88">
        <f>SUM(F542:K542)</f>
        <v>2903.25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2733.8</v>
      </c>
      <c r="I543" s="18"/>
      <c r="J543" s="18"/>
      <c r="K543" s="18"/>
      <c r="L543" s="88">
        <f>SUM(F543:K543)</f>
        <v>2733.8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12991.739999999998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12991.739999999998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60570.15</v>
      </c>
      <c r="G545" s="89">
        <f t="shared" ref="G545:L545" si="41">G524+G529+G534+G539+G544</f>
        <v>28542.63</v>
      </c>
      <c r="H545" s="89">
        <f t="shared" si="41"/>
        <v>140043.96</v>
      </c>
      <c r="I545" s="89">
        <f t="shared" si="41"/>
        <v>339.24</v>
      </c>
      <c r="J545" s="89">
        <f t="shared" si="41"/>
        <v>0</v>
      </c>
      <c r="K545" s="89">
        <f t="shared" si="41"/>
        <v>0</v>
      </c>
      <c r="L545" s="89">
        <f t="shared" si="41"/>
        <v>229495.98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104369.66</v>
      </c>
      <c r="G549" s="87">
        <f>L526</f>
        <v>15752.28</v>
      </c>
      <c r="H549" s="87">
        <f>L531</f>
        <v>14024.23</v>
      </c>
      <c r="I549" s="87">
        <f>L536</f>
        <v>0</v>
      </c>
      <c r="J549" s="87">
        <f>L541</f>
        <v>7354.69</v>
      </c>
      <c r="K549" s="87">
        <f>SUM(F549:J549)</f>
        <v>141500.86000000002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57737.05</v>
      </c>
      <c r="G550" s="87">
        <f>L527</f>
        <v>487.5</v>
      </c>
      <c r="H550" s="87">
        <f>L532</f>
        <v>3969.12</v>
      </c>
      <c r="I550" s="87">
        <f>L537</f>
        <v>0</v>
      </c>
      <c r="J550" s="87">
        <f>L542</f>
        <v>2903.25</v>
      </c>
      <c r="K550" s="87">
        <f>SUM(F550:J550)</f>
        <v>65096.920000000006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11251.94</v>
      </c>
      <c r="G551" s="87">
        <f>L528</f>
        <v>445</v>
      </c>
      <c r="H551" s="87">
        <f>L533</f>
        <v>8467.4599999999991</v>
      </c>
      <c r="I551" s="87">
        <f>L538</f>
        <v>0</v>
      </c>
      <c r="J551" s="87">
        <f>L543</f>
        <v>2733.8</v>
      </c>
      <c r="K551" s="87">
        <f>SUM(F551:J551)</f>
        <v>22898.2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173358.65000000002</v>
      </c>
      <c r="G552" s="89">
        <f t="shared" si="42"/>
        <v>16684.78</v>
      </c>
      <c r="H552" s="89">
        <f t="shared" si="42"/>
        <v>26460.809999999998</v>
      </c>
      <c r="I552" s="89">
        <f t="shared" si="42"/>
        <v>0</v>
      </c>
      <c r="J552" s="89">
        <f t="shared" si="42"/>
        <v>12991.739999999998</v>
      </c>
      <c r="K552" s="89">
        <f t="shared" si="42"/>
        <v>229495.98000000004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252735.49</v>
      </c>
      <c r="H575" s="18">
        <v>421491.38</v>
      </c>
      <c r="I575" s="87">
        <f>SUM(F575:H575)</f>
        <v>674226.87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>
        <v>79975</v>
      </c>
      <c r="I576" s="87">
        <f t="shared" ref="I576:I587" si="47">SUM(F576:H576)</f>
        <v>79975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v>16897.09</v>
      </c>
      <c r="H579" s="18">
        <v>1046.79</v>
      </c>
      <c r="I579" s="87">
        <f t="shared" si="47"/>
        <v>17943.88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>
        <v>40839.96</v>
      </c>
      <c r="H582" s="18">
        <v>10205.15</v>
      </c>
      <c r="I582" s="87">
        <f t="shared" si="47"/>
        <v>51045.11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>
        <v>13602.55</v>
      </c>
      <c r="I585" s="87">
        <f t="shared" si="47"/>
        <v>13602.55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50189.919999999998</v>
      </c>
      <c r="I591" s="18">
        <v>18474.599999999999</v>
      </c>
      <c r="J591" s="18">
        <v>31250.36</v>
      </c>
      <c r="K591" s="104">
        <f t="shared" ref="K591:K597" si="48">SUM(H591:J591)</f>
        <v>99914.87999999999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7354.69</v>
      </c>
      <c r="I592" s="18">
        <v>2903.25</v>
      </c>
      <c r="J592" s="18">
        <v>2733.8</v>
      </c>
      <c r="K592" s="104">
        <f t="shared" si="48"/>
        <v>12991.739999999998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820.73</v>
      </c>
      <c r="K593" s="104">
        <f t="shared" si="48"/>
        <v>820.73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3276.23+227</f>
        <v>3503.23</v>
      </c>
      <c r="I595" s="18"/>
      <c r="J595" s="18"/>
      <c r="K595" s="104">
        <f t="shared" si="48"/>
        <v>3503.23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61047.840000000004</v>
      </c>
      <c r="I598" s="108">
        <f>SUM(I591:I597)</f>
        <v>21377.85</v>
      </c>
      <c r="J598" s="108">
        <f>SUM(J591:J597)</f>
        <v>34804.890000000007</v>
      </c>
      <c r="K598" s="108">
        <f>SUM(K591:K597)</f>
        <v>117230.57999999999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13400.18</v>
      </c>
      <c r="I604" s="18"/>
      <c r="J604" s="18"/>
      <c r="K604" s="104">
        <f>SUM(H604:J604)</f>
        <v>13400.18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13400.18</v>
      </c>
      <c r="I605" s="108">
        <f>SUM(I602:I604)</f>
        <v>0</v>
      </c>
      <c r="J605" s="108">
        <f>SUM(J602:J604)</f>
        <v>0</v>
      </c>
      <c r="K605" s="108">
        <f>SUM(K602:K604)</f>
        <v>13400.18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4528.24</v>
      </c>
      <c r="G611" s="18">
        <v>1025.32</v>
      </c>
      <c r="H611" s="18"/>
      <c r="I611" s="18"/>
      <c r="J611" s="18"/>
      <c r="K611" s="18"/>
      <c r="L611" s="88">
        <f>SUM(F611:K611)</f>
        <v>5553.5599999999995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4528.24</v>
      </c>
      <c r="G614" s="108">
        <f t="shared" si="49"/>
        <v>1025.32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5553.5599999999995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259723.61999999997</v>
      </c>
      <c r="H617" s="109">
        <f>SUM(F52)</f>
        <v>259723.62000000011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6733.18</v>
      </c>
      <c r="H618" s="109">
        <f>SUM(G52)</f>
        <v>6733.1799999999994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28599.59</v>
      </c>
      <c r="H619" s="109">
        <f>SUM(H52)</f>
        <v>28599.59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113822.67</v>
      </c>
      <c r="H621" s="109">
        <f>SUM(J52)</f>
        <v>113822.67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60213.680000000073</v>
      </c>
      <c r="H622" s="109">
        <f>F476</f>
        <v>60213.680000000168</v>
      </c>
      <c r="I622" s="121" t="s">
        <v>101</v>
      </c>
      <c r="J622" s="109">
        <f t="shared" ref="J622:J655" si="50">G622-H622</f>
        <v>-9.4587448984384537E-11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69.03</v>
      </c>
      <c r="H623" s="109">
        <f>G476</f>
        <v>69.029999999998836</v>
      </c>
      <c r="I623" s="121" t="s">
        <v>102</v>
      </c>
      <c r="J623" s="109">
        <f t="shared" si="50"/>
        <v>1.1652900866465643E-12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1198.7</v>
      </c>
      <c r="H624" s="109">
        <f>H476</f>
        <v>1198.6999999999971</v>
      </c>
      <c r="I624" s="121" t="s">
        <v>103</v>
      </c>
      <c r="J624" s="109">
        <f t="shared" si="50"/>
        <v>2.9558577807620168E-12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113822.67</v>
      </c>
      <c r="H626" s="109">
        <f>J476</f>
        <v>113822.67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2144916.06</v>
      </c>
      <c r="H627" s="104">
        <f>SUM(F468)</f>
        <v>2144916.06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54455.94</v>
      </c>
      <c r="H628" s="104">
        <f>SUM(G468)</f>
        <v>54455.94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42816.41</v>
      </c>
      <c r="H629" s="104">
        <f>SUM(H468)</f>
        <v>42816.41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20000</v>
      </c>
      <c r="H631" s="104">
        <f>SUM(J468)</f>
        <v>20000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2114973.98</v>
      </c>
      <c r="H632" s="104">
        <f>SUM(F472)</f>
        <v>2114973.98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42816.41</v>
      </c>
      <c r="H633" s="104">
        <f>SUM(H472)</f>
        <v>42816.41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54455.94</v>
      </c>
      <c r="H635" s="104">
        <f>SUM(G472)</f>
        <v>54455.94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20000</v>
      </c>
      <c r="H637" s="164">
        <f>SUM(J468)</f>
        <v>20000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113822.67</v>
      </c>
      <c r="H640" s="104">
        <f>SUM(G461)</f>
        <v>113822.67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113822.67</v>
      </c>
      <c r="H642" s="104">
        <f>SUM(I461)</f>
        <v>113822.67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20000</v>
      </c>
      <c r="H646" s="104">
        <f>L408</f>
        <v>20000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117230.57999999999</v>
      </c>
      <c r="H647" s="104">
        <f>L208+L226+L244</f>
        <v>117230.58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13400.18</v>
      </c>
      <c r="H648" s="104">
        <f>(J257+J338)-(J255+J336)</f>
        <v>13400.18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61047.839999999997</v>
      </c>
      <c r="H649" s="104">
        <f>H598</f>
        <v>61047.840000000004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21377.85</v>
      </c>
      <c r="H650" s="104">
        <f>I598</f>
        <v>21377.85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34804.89</v>
      </c>
      <c r="H651" s="104">
        <f>J598</f>
        <v>34804.890000000007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18613.46</v>
      </c>
      <c r="H652" s="104">
        <f>K263+K345</f>
        <v>18613.46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1208146.1299999999</v>
      </c>
      <c r="G660" s="19">
        <f>(L229+L309+L359)</f>
        <v>351733.93999999994</v>
      </c>
      <c r="H660" s="19">
        <f>(L247+L328+L360)</f>
        <v>606943.19999999995</v>
      </c>
      <c r="I660" s="19">
        <f>SUM(F660:H660)</f>
        <v>2166823.2699999996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14962.11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14962.11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61047.839999999997</v>
      </c>
      <c r="G662" s="19">
        <f>(L226+L306)-(J226+J306)</f>
        <v>21377.85</v>
      </c>
      <c r="H662" s="19">
        <f>(L244+L325)-(J244+J325)</f>
        <v>34804.89</v>
      </c>
      <c r="I662" s="19">
        <f>SUM(F662:H662)</f>
        <v>117230.58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18953.739999999998</v>
      </c>
      <c r="G663" s="199">
        <f>SUM(G575:G587)+SUM(I602:I604)+L612</f>
        <v>310472.54000000004</v>
      </c>
      <c r="H663" s="199">
        <f>SUM(H575:H587)+SUM(J602:J604)+L613</f>
        <v>526320.87</v>
      </c>
      <c r="I663" s="19">
        <f>SUM(F663:H663)</f>
        <v>855747.15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1113182.44</v>
      </c>
      <c r="G664" s="19">
        <f>G660-SUM(G661:G663)</f>
        <v>19883.54999999993</v>
      </c>
      <c r="H664" s="19">
        <f>H660-SUM(H661:H663)</f>
        <v>45817.439999999944</v>
      </c>
      <c r="I664" s="19">
        <f>I660-SUM(I661:I663)</f>
        <v>1178883.4299999995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82.74</v>
      </c>
      <c r="G665" s="248"/>
      <c r="H665" s="248"/>
      <c r="I665" s="19">
        <f>SUM(F665:H665)</f>
        <v>82.74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13453.98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14248.05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-19883.55</v>
      </c>
      <c r="H669" s="18">
        <v>-45817.440000000002</v>
      </c>
      <c r="I669" s="19">
        <f>SUM(F669:H669)</f>
        <v>-65700.990000000005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13453.98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13453.98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7" sqref="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BATH VILLAGE SCHOOL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330512.74</v>
      </c>
      <c r="C9" s="229">
        <f>'DOE25'!G197+'DOE25'!G215+'DOE25'!G233+'DOE25'!G276+'DOE25'!G295+'DOE25'!G314</f>
        <v>135563.44</v>
      </c>
    </row>
    <row r="10" spans="1:3" x14ac:dyDescent="0.2">
      <c r="A10" t="s">
        <v>779</v>
      </c>
      <c r="B10" s="240">
        <v>316122.12</v>
      </c>
      <c r="C10" s="240">
        <f>135563.44-C11-C12</f>
        <v>134462.55757</v>
      </c>
    </row>
    <row r="11" spans="1:3" x14ac:dyDescent="0.2">
      <c r="A11" t="s">
        <v>780</v>
      </c>
      <c r="B11" s="240">
        <v>61.84</v>
      </c>
      <c r="C11" s="240">
        <f>+B11*7.65%</f>
        <v>4.7307600000000001</v>
      </c>
    </row>
    <row r="12" spans="1:3" x14ac:dyDescent="0.2">
      <c r="A12" t="s">
        <v>781</v>
      </c>
      <c r="B12" s="240">
        <v>14328.78</v>
      </c>
      <c r="C12" s="240">
        <f>+B12*7.65%</f>
        <v>1096.15167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330512.74000000005</v>
      </c>
      <c r="C13" s="231">
        <f>SUM(C10:C12)</f>
        <v>135563.44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60570.15</v>
      </c>
      <c r="C18" s="229">
        <f>'DOE25'!G198+'DOE25'!G216+'DOE25'!G234+'DOE25'!G277+'DOE25'!G296+'DOE25'!G315</f>
        <v>28542.63</v>
      </c>
    </row>
    <row r="19" spans="1:3" x14ac:dyDescent="0.2">
      <c r="A19" t="s">
        <v>779</v>
      </c>
      <c r="B19" s="240">
        <v>29723.54</v>
      </c>
      <c r="C19" s="240">
        <f>(28542.63-C21)/2</f>
        <v>14251.233750000001</v>
      </c>
    </row>
    <row r="20" spans="1:3" x14ac:dyDescent="0.2">
      <c r="A20" t="s">
        <v>780</v>
      </c>
      <c r="B20" s="240">
        <v>30321.61</v>
      </c>
      <c r="C20" s="240">
        <f>+C19</f>
        <v>14251.233750000001</v>
      </c>
    </row>
    <row r="21" spans="1:3" x14ac:dyDescent="0.2">
      <c r="A21" t="s">
        <v>781</v>
      </c>
      <c r="B21" s="240">
        <v>525</v>
      </c>
      <c r="C21" s="240">
        <f>+B21*7.65%</f>
        <v>40.162500000000001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60570.15</v>
      </c>
      <c r="C22" s="231">
        <f>SUM(C19:C21)</f>
        <v>28542.63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6199.99</v>
      </c>
      <c r="C36" s="235">
        <f>'DOE25'!G200+'DOE25'!G218+'DOE25'!G236+'DOE25'!G279+'DOE25'!G298+'DOE25'!G317</f>
        <v>1173.1600000000001</v>
      </c>
    </row>
    <row r="37" spans="1:3" x14ac:dyDescent="0.2">
      <c r="A37" t="s">
        <v>779</v>
      </c>
      <c r="B37" s="240">
        <v>4528.24</v>
      </c>
      <c r="C37" s="240">
        <f>1173.16-C39</f>
        <v>1045.271125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1671.75</v>
      </c>
      <c r="C39" s="240">
        <f>+B39*7.65%</f>
        <v>127.888875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6199.99</v>
      </c>
      <c r="C40" s="231">
        <f>SUM(C37:C39)</f>
        <v>1173.1600000000001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BATH VILLAGE SCHOOL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1469126</v>
      </c>
      <c r="D5" s="20">
        <f>SUM('DOE25'!L197:L200)+SUM('DOE25'!L215:L218)+SUM('DOE25'!L233:L236)-F5-G5</f>
        <v>1464610.47</v>
      </c>
      <c r="E5" s="243"/>
      <c r="F5" s="255">
        <f>SUM('DOE25'!J197:J200)+SUM('DOE25'!J215:J218)+SUM('DOE25'!J233:J236)</f>
        <v>1457</v>
      </c>
      <c r="G5" s="53">
        <f>SUM('DOE25'!K197:K200)+SUM('DOE25'!K215:K218)+SUM('DOE25'!K233:K236)</f>
        <v>3058.5299999999997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50001.7</v>
      </c>
      <c r="D6" s="20">
        <f>'DOE25'!L202+'DOE25'!L220+'DOE25'!L238-F6-G6</f>
        <v>49042.7</v>
      </c>
      <c r="E6" s="243"/>
      <c r="F6" s="255">
        <f>'DOE25'!J202+'DOE25'!J220+'DOE25'!J238</f>
        <v>959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24724.030000000002</v>
      </c>
      <c r="D7" s="20">
        <f>'DOE25'!L203+'DOE25'!L221+'DOE25'!L239-F7-G7</f>
        <v>24724.030000000002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107311.26999999999</v>
      </c>
      <c r="D8" s="243"/>
      <c r="E8" s="20">
        <f>'DOE25'!L204+'DOE25'!L222+'DOE25'!L240-F8-G8-D9-D11</f>
        <v>105033.76999999999</v>
      </c>
      <c r="F8" s="255">
        <f>'DOE25'!J204+'DOE25'!J222+'DOE25'!J240</f>
        <v>0</v>
      </c>
      <c r="G8" s="53">
        <f>'DOE25'!K204+'DOE25'!K222+'DOE25'!K240</f>
        <v>2277.5</v>
      </c>
      <c r="H8" s="259"/>
    </row>
    <row r="9" spans="1:9" x14ac:dyDescent="0.2">
      <c r="A9" s="32">
        <v>2310</v>
      </c>
      <c r="B9" t="s">
        <v>818</v>
      </c>
      <c r="C9" s="245">
        <f t="shared" si="0"/>
        <v>7068.16</v>
      </c>
      <c r="D9" s="244">
        <v>7068.16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9776</v>
      </c>
      <c r="D10" s="243"/>
      <c r="E10" s="244">
        <v>9776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24237.32</v>
      </c>
      <c r="D11" s="244">
        <v>24237.32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129314.28000000001</v>
      </c>
      <c r="D12" s="20">
        <f>'DOE25'!L205+'DOE25'!L223+'DOE25'!L241-F12-G12</f>
        <v>129314.28000000001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133898.85999999999</v>
      </c>
      <c r="D14" s="20">
        <f>'DOE25'!L207+'DOE25'!L225+'DOE25'!L243-F14-G14</f>
        <v>133466.85999999999</v>
      </c>
      <c r="E14" s="243"/>
      <c r="F14" s="255">
        <f>'DOE25'!J207+'DOE25'!J225+'DOE25'!J243</f>
        <v>232</v>
      </c>
      <c r="G14" s="53">
        <f>'DOE25'!K207+'DOE25'!K225+'DOE25'!K243</f>
        <v>200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117230.58</v>
      </c>
      <c r="D15" s="20">
        <f>'DOE25'!L208+'DOE25'!L226+'DOE25'!L244-F15-G15</f>
        <v>117230.58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6638.7200000000012</v>
      </c>
      <c r="D16" s="243"/>
      <c r="E16" s="20">
        <f>'DOE25'!L209+'DOE25'!L227+'DOE25'!L245-F16-G16</f>
        <v>4433.9100000000008</v>
      </c>
      <c r="F16" s="255">
        <f>'DOE25'!J209+'DOE25'!J227+'DOE25'!J245</f>
        <v>2003.54</v>
      </c>
      <c r="G16" s="53">
        <f>'DOE25'!K209+'DOE25'!K227+'DOE25'!K245</f>
        <v>201.27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54455.94</v>
      </c>
      <c r="D29" s="20">
        <f>'DOE25'!L358+'DOE25'!L359+'DOE25'!L360-'DOE25'!I367-F29-G29</f>
        <v>54455.94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42816.41</v>
      </c>
      <c r="D31" s="20">
        <f>'DOE25'!L290+'DOE25'!L309+'DOE25'!L328+'DOE25'!L333+'DOE25'!L334+'DOE25'!L335-F31-G31</f>
        <v>33556.770000000004</v>
      </c>
      <c r="E31" s="243"/>
      <c r="F31" s="255">
        <f>'DOE25'!J290+'DOE25'!J309+'DOE25'!J328+'DOE25'!J333+'DOE25'!J334+'DOE25'!J335</f>
        <v>8748.64</v>
      </c>
      <c r="G31" s="53">
        <f>'DOE25'!K290+'DOE25'!K309+'DOE25'!K328+'DOE25'!K333+'DOE25'!K334+'DOE25'!K335</f>
        <v>511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2037707.1099999999</v>
      </c>
      <c r="E33" s="246">
        <f>SUM(E5:E31)</f>
        <v>119243.68</v>
      </c>
      <c r="F33" s="246">
        <f>SUM(F5:F31)</f>
        <v>13400.18</v>
      </c>
      <c r="G33" s="246">
        <f>SUM(G5:G31)</f>
        <v>6248.3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119243.68</v>
      </c>
      <c r="E35" s="249"/>
    </row>
    <row r="36" spans="2:8" ht="12" thickTop="1" x14ac:dyDescent="0.2">
      <c r="B36" t="s">
        <v>815</v>
      </c>
      <c r="D36" s="20">
        <f>D33</f>
        <v>2037707.1099999999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5" activePane="bottomLeft" state="frozen"/>
      <selection activeCell="F46" sqref="F46"/>
      <selection pane="bottomLeft" activeCell="C49" sqref="C4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 VILLAGE SCHOOL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237442.58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113822.67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7622.34</v>
      </c>
      <c r="D11" s="95">
        <f>'DOE25'!G12</f>
        <v>5494.64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9520.3700000000008</v>
      </c>
      <c r="D12" s="95">
        <f>'DOE25'!G13</f>
        <v>1238.54</v>
      </c>
      <c r="E12" s="95">
        <f>'DOE25'!H13</f>
        <v>28599.59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5138.33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259723.61999999997</v>
      </c>
      <c r="D18" s="41">
        <f>SUM(D8:D17)</f>
        <v>6733.18</v>
      </c>
      <c r="E18" s="41">
        <f>SUM(E8:E17)</f>
        <v>28599.59</v>
      </c>
      <c r="F18" s="41">
        <f>SUM(F8:F17)</f>
        <v>0</v>
      </c>
      <c r="G18" s="41">
        <f>SUM(G8:G17)</f>
        <v>113822.67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13116.98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199185.71000000002</v>
      </c>
      <c r="D23" s="95">
        <f>'DOE25'!G24</f>
        <v>6664.15</v>
      </c>
      <c r="E23" s="95">
        <f>'DOE25'!H24</f>
        <v>13673.869999999999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324.23</v>
      </c>
      <c r="D28" s="95">
        <f>'DOE25'!G29</f>
        <v>0</v>
      </c>
      <c r="E28" s="95">
        <f>'DOE25'!H29</f>
        <v>426.71999999999997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183.32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199509.94000000003</v>
      </c>
      <c r="D31" s="41">
        <f>SUM(D21:D30)</f>
        <v>6664.15</v>
      </c>
      <c r="E31" s="41">
        <f>SUM(E21:E30)</f>
        <v>27400.89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69.03</v>
      </c>
      <c r="E47" s="95">
        <f>'DOE25'!H48</f>
        <v>1198.7</v>
      </c>
      <c r="F47" s="95">
        <f>'DOE25'!I48</f>
        <v>0</v>
      </c>
      <c r="G47" s="95">
        <f>'DOE25'!J48</f>
        <v>113822.67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40213.680000000073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60213.680000000073</v>
      </c>
      <c r="D50" s="41">
        <f>SUM(D34:D49)</f>
        <v>69.03</v>
      </c>
      <c r="E50" s="41">
        <f>SUM(E34:E49)</f>
        <v>1198.7</v>
      </c>
      <c r="F50" s="41">
        <f>SUM(F34:F49)</f>
        <v>0</v>
      </c>
      <c r="G50" s="41">
        <f>SUM(G34:G49)</f>
        <v>113822.67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259723.62000000011</v>
      </c>
      <c r="D51" s="41">
        <f>D50+D31</f>
        <v>6733.1799999999994</v>
      </c>
      <c r="E51" s="41">
        <f>E50+E31</f>
        <v>28599.59</v>
      </c>
      <c r="F51" s="41">
        <f>F50+F31</f>
        <v>0</v>
      </c>
      <c r="G51" s="41">
        <f>G50+G31</f>
        <v>113822.67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1409594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10395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113.88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13625.69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911.13</v>
      </c>
      <c r="D61" s="95">
        <f>SUM('DOE25'!G98:G110)</f>
        <v>1336.42</v>
      </c>
      <c r="E61" s="95">
        <f>SUM('DOE25'!H98:H110)</f>
        <v>1005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11420.009999999998</v>
      </c>
      <c r="D62" s="130">
        <f>SUM(D57:D61)</f>
        <v>14962.11</v>
      </c>
      <c r="E62" s="130">
        <f>SUM(E57:E61)</f>
        <v>1005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1421014.01</v>
      </c>
      <c r="D63" s="22">
        <f>D56+D62</f>
        <v>14962.11</v>
      </c>
      <c r="E63" s="22">
        <f>E56+E62</f>
        <v>1005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483220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228133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711353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3638.78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498.11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3638.78</v>
      </c>
      <c r="D78" s="130">
        <f>SUM(D72:D77)</f>
        <v>498.11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714991.78</v>
      </c>
      <c r="D81" s="130">
        <f>SUM(D79:D80)+D78+D70</f>
        <v>498.11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8679.74</v>
      </c>
      <c r="D88" s="95">
        <f>SUM('DOE25'!G153:G161)</f>
        <v>20382.260000000002</v>
      </c>
      <c r="E88" s="95">
        <f>SUM('DOE25'!H153:H161)</f>
        <v>41811.410000000003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230.53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8910.27</v>
      </c>
      <c r="D91" s="131">
        <f>SUM(D85:D90)</f>
        <v>20382.260000000002</v>
      </c>
      <c r="E91" s="131">
        <f>SUM(E85:E90)</f>
        <v>41811.410000000003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18613.46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18613.46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2144916.06</v>
      </c>
      <c r="D104" s="86">
        <f>D63+D81+D91+D103</f>
        <v>54455.94</v>
      </c>
      <c r="E104" s="86">
        <f>E63+E81+E91+E103</f>
        <v>42816.41</v>
      </c>
      <c r="F104" s="86">
        <f>F63+F81+F91+F103</f>
        <v>0</v>
      </c>
      <c r="G104" s="86">
        <f>G63+G81+G103</f>
        <v>20000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1272480.71</v>
      </c>
      <c r="D109" s="24" t="s">
        <v>289</v>
      </c>
      <c r="E109" s="95">
        <f>('DOE25'!L276)+('DOE25'!L295)+('DOE25'!L314)</f>
        <v>35084.33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173358.65000000002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13602.55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9684.09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1469126</v>
      </c>
      <c r="D115" s="86">
        <f>SUM(D109:D114)</f>
        <v>0</v>
      </c>
      <c r="E115" s="86">
        <f>SUM(E109:E114)</f>
        <v>35084.33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50001.7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24724.030000000002</v>
      </c>
      <c r="D119" s="24" t="s">
        <v>289</v>
      </c>
      <c r="E119" s="95">
        <f>+('DOE25'!L282)+('DOE25'!L301)+('DOE25'!L320)</f>
        <v>7221.08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138616.75</v>
      </c>
      <c r="D120" s="24" t="s">
        <v>289</v>
      </c>
      <c r="E120" s="95">
        <f>+('DOE25'!L283)+('DOE25'!L302)+('DOE25'!L321)</f>
        <v>511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129314.28000000001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133898.85999999999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117230.58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6638.7200000000012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54455.94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600424.91999999993</v>
      </c>
      <c r="D128" s="86">
        <f>SUM(D118:D127)</f>
        <v>54455.94</v>
      </c>
      <c r="E128" s="86">
        <f>SUM(E118:E127)</f>
        <v>7732.08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18613.46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6809.6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45423.06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2114973.98</v>
      </c>
      <c r="D145" s="86">
        <f>(D115+D128+D144)</f>
        <v>54455.94</v>
      </c>
      <c r="E145" s="86">
        <f>(E115+E128+E144)</f>
        <v>42816.41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41" sqref="B4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BATH VILLAGE SCHOOL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13454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13454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1307565</v>
      </c>
      <c r="D10" s="182">
        <f>ROUND((C10/$C$28)*100,1)</f>
        <v>60.6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173359</v>
      </c>
      <c r="D11" s="182">
        <f>ROUND((C11/$C$28)*100,1)</f>
        <v>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13603</v>
      </c>
      <c r="D12" s="182">
        <f>ROUND((C12/$C$28)*100,1)</f>
        <v>0.6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9684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50002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31945</v>
      </c>
      <c r="D16" s="182">
        <f t="shared" si="0"/>
        <v>1.5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145766</v>
      </c>
      <c r="D17" s="182">
        <f t="shared" si="0"/>
        <v>6.8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129314</v>
      </c>
      <c r="D18" s="182">
        <f t="shared" si="0"/>
        <v>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133899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117231</v>
      </c>
      <c r="D21" s="182">
        <f t="shared" si="0"/>
        <v>5.4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6809.6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39493.89</v>
      </c>
      <c r="D27" s="182">
        <f t="shared" si="0"/>
        <v>1.8</v>
      </c>
    </row>
    <row r="28" spans="1:4" x14ac:dyDescent="0.2">
      <c r="B28" s="187" t="s">
        <v>723</v>
      </c>
      <c r="C28" s="180">
        <f>SUM(C10:C27)</f>
        <v>2158671.4900000002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2158671.4900000002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1409594</v>
      </c>
      <c r="D35" s="182">
        <f t="shared" ref="D35:D40" si="1">ROUND((C35/$C$41)*100,1)</f>
        <v>63.8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12425.010000000009</v>
      </c>
      <c r="D36" s="182">
        <f t="shared" si="1"/>
        <v>0.6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711353</v>
      </c>
      <c r="D37" s="182">
        <f t="shared" si="1"/>
        <v>32.200000000000003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4137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71104</v>
      </c>
      <c r="D39" s="182">
        <f t="shared" si="1"/>
        <v>3.2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2208613.0099999998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BATH VILLAGE SCHOOL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2016-10-24T16:38:14Z</cp:lastPrinted>
  <dcterms:created xsi:type="dcterms:W3CDTF">1997-12-04T19:04:30Z</dcterms:created>
  <dcterms:modified xsi:type="dcterms:W3CDTF">2016-12-20T15:58:38Z</dcterms:modified>
</cp:coreProperties>
</file>