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AF0A" lockStructure="1"/>
  <bookViews>
    <workbookView xWindow="0" yWindow="0" windowWidth="20490" windowHeight="69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4" i="1" l="1"/>
  <c r="H226" i="1"/>
  <c r="H244" i="1"/>
  <c r="H236" i="1"/>
  <c r="H218" i="1"/>
  <c r="H281" i="1"/>
  <c r="G282" i="1"/>
  <c r="F282" i="1"/>
  <c r="F281" i="1"/>
  <c r="F277" i="1"/>
  <c r="I276" i="1"/>
  <c r="G239" i="1"/>
  <c r="G221" i="1"/>
  <c r="G203" i="1"/>
  <c r="F22" i="1" l="1"/>
  <c r="F28" i="1"/>
  <c r="F30" i="1"/>
  <c r="F24" i="1"/>
  <c r="F14" i="1"/>
  <c r="H209" i="1" l="1"/>
  <c r="F244" i="1"/>
  <c r="K243" i="1"/>
  <c r="J243" i="1"/>
  <c r="I243" i="1"/>
  <c r="H243" i="1"/>
  <c r="F243" i="1"/>
  <c r="H242" i="1"/>
  <c r="F242" i="1"/>
  <c r="J241" i="1"/>
  <c r="I241" i="1"/>
  <c r="F241" i="1"/>
  <c r="K240" i="1"/>
  <c r="J240" i="1"/>
  <c r="I240" i="1"/>
  <c r="H240" i="1"/>
  <c r="F240" i="1"/>
  <c r="K239" i="1"/>
  <c r="J239" i="1"/>
  <c r="I239" i="1"/>
  <c r="H239" i="1"/>
  <c r="F239" i="1"/>
  <c r="I238" i="1"/>
  <c r="H238" i="1"/>
  <c r="I234" i="1"/>
  <c r="F234" i="1"/>
  <c r="I233" i="1"/>
  <c r="F233" i="1"/>
  <c r="F226" i="1"/>
  <c r="J225" i="1"/>
  <c r="I225" i="1"/>
  <c r="H225" i="1"/>
  <c r="F225" i="1"/>
  <c r="H224" i="1"/>
  <c r="F224" i="1"/>
  <c r="J223" i="1"/>
  <c r="I223" i="1"/>
  <c r="F223" i="1"/>
  <c r="K222" i="1"/>
  <c r="J222" i="1"/>
  <c r="I222" i="1"/>
  <c r="H222" i="1"/>
  <c r="F222" i="1"/>
  <c r="K221" i="1"/>
  <c r="J221" i="1"/>
  <c r="I221" i="1"/>
  <c r="H221" i="1"/>
  <c r="F221" i="1"/>
  <c r="I220" i="1"/>
  <c r="H220" i="1"/>
  <c r="F220" i="1"/>
  <c r="I216" i="1"/>
  <c r="F216" i="1"/>
  <c r="I215" i="1"/>
  <c r="F215" i="1"/>
  <c r="H208" i="1"/>
  <c r="K207" i="1"/>
  <c r="J207" i="1"/>
  <c r="I207" i="1"/>
  <c r="H207" i="1"/>
  <c r="F207" i="1"/>
  <c r="H206" i="1"/>
  <c r="F206" i="1"/>
  <c r="J205" i="1"/>
  <c r="I205" i="1"/>
  <c r="F205" i="1"/>
  <c r="K204" i="1"/>
  <c r="J204" i="1"/>
  <c r="I204" i="1"/>
  <c r="H204" i="1"/>
  <c r="K203" i="1"/>
  <c r="J203" i="1"/>
  <c r="I203" i="1"/>
  <c r="H203" i="1"/>
  <c r="F203" i="1"/>
  <c r="I202" i="1"/>
  <c r="H202" i="1"/>
  <c r="I198" i="1"/>
  <c r="F198" i="1"/>
  <c r="I197" i="1"/>
  <c r="F197" i="1"/>
  <c r="I236" i="1"/>
  <c r="K241" i="1"/>
  <c r="H233" i="1"/>
  <c r="G498" i="1" l="1"/>
  <c r="H498" i="1"/>
  <c r="I498" i="1"/>
  <c r="F498" i="1"/>
  <c r="J197" i="1" l="1"/>
  <c r="H197" i="1"/>
  <c r="F5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9" i="1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E128" i="2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640" i="1" s="1"/>
  <c r="J640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J617" i="1" s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H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C18" i="2"/>
  <c r="C26" i="10"/>
  <c r="L351" i="1"/>
  <c r="A31" i="12"/>
  <c r="A40" i="12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E103" i="2"/>
  <c r="E31" i="2"/>
  <c r="G62" i="2"/>
  <c r="D19" i="13"/>
  <c r="C19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J643" i="1"/>
  <c r="F476" i="1"/>
  <c r="H622" i="1" s="1"/>
  <c r="G476" i="1"/>
  <c r="H623" i="1" s="1"/>
  <c r="J623" i="1" s="1"/>
  <c r="J140" i="1"/>
  <c r="G22" i="2"/>
  <c r="J552" i="1"/>
  <c r="C29" i="10"/>
  <c r="H140" i="1"/>
  <c r="L401" i="1"/>
  <c r="C139" i="2" s="1"/>
  <c r="A13" i="12"/>
  <c r="F22" i="13"/>
  <c r="H571" i="1"/>
  <c r="L560" i="1"/>
  <c r="J545" i="1"/>
  <c r="H338" i="1"/>
  <c r="H352" i="1" s="1"/>
  <c r="F338" i="1"/>
  <c r="F352" i="1" s="1"/>
  <c r="G192" i="1"/>
  <c r="H192" i="1"/>
  <c r="F552" i="1"/>
  <c r="E16" i="13"/>
  <c r="J655" i="1"/>
  <c r="J645" i="1"/>
  <c r="I571" i="1"/>
  <c r="J636" i="1"/>
  <c r="G36" i="2"/>
  <c r="C22" i="13"/>
  <c r="C70" i="2" l="1"/>
  <c r="H545" i="1"/>
  <c r="K551" i="1"/>
  <c r="L539" i="1"/>
  <c r="G545" i="1"/>
  <c r="H552" i="1"/>
  <c r="L534" i="1"/>
  <c r="K549" i="1"/>
  <c r="L529" i="1"/>
  <c r="L614" i="1"/>
  <c r="J651" i="1"/>
  <c r="H476" i="1"/>
  <c r="H624" i="1" s="1"/>
  <c r="J624" i="1" s="1"/>
  <c r="L290" i="1"/>
  <c r="C15" i="10"/>
  <c r="L328" i="1"/>
  <c r="E115" i="2"/>
  <c r="H52" i="1"/>
  <c r="H619" i="1" s="1"/>
  <c r="J634" i="1"/>
  <c r="D29" i="13"/>
  <c r="C29" i="13" s="1"/>
  <c r="D127" i="2"/>
  <c r="D128" i="2" s="1"/>
  <c r="D145" i="2" s="1"/>
  <c r="H661" i="1"/>
  <c r="G661" i="1"/>
  <c r="J622" i="1"/>
  <c r="H662" i="1"/>
  <c r="C19" i="10"/>
  <c r="C20" i="10"/>
  <c r="L256" i="1"/>
  <c r="C21" i="10"/>
  <c r="G257" i="1"/>
  <c r="G271" i="1" s="1"/>
  <c r="C124" i="2"/>
  <c r="G649" i="1"/>
  <c r="J649" i="1" s="1"/>
  <c r="H647" i="1"/>
  <c r="F662" i="1"/>
  <c r="D15" i="13"/>
  <c r="C15" i="13" s="1"/>
  <c r="C122" i="2"/>
  <c r="E13" i="13"/>
  <c r="C13" i="13" s="1"/>
  <c r="C17" i="10"/>
  <c r="D7" i="13"/>
  <c r="C7" i="13" s="1"/>
  <c r="C120" i="2"/>
  <c r="E8" i="13"/>
  <c r="C8" i="13" s="1"/>
  <c r="H408" i="1"/>
  <c r="H644" i="1" s="1"/>
  <c r="J644" i="1" s="1"/>
  <c r="J639" i="1"/>
  <c r="K503" i="1"/>
  <c r="C121" i="2"/>
  <c r="L247" i="1"/>
  <c r="K257" i="1"/>
  <c r="K271" i="1" s="1"/>
  <c r="I257" i="1"/>
  <c r="I271" i="1" s="1"/>
  <c r="J647" i="1"/>
  <c r="D14" i="13"/>
  <c r="C14" i="13" s="1"/>
  <c r="C123" i="2"/>
  <c r="L229" i="1"/>
  <c r="G660" i="1" s="1"/>
  <c r="D12" i="13"/>
  <c r="C12" i="13" s="1"/>
  <c r="J257" i="1"/>
  <c r="J271" i="1" s="1"/>
  <c r="C11" i="10"/>
  <c r="H257" i="1"/>
  <c r="H271" i="1" s="1"/>
  <c r="C10" i="10"/>
  <c r="C118" i="2"/>
  <c r="D6" i="13"/>
  <c r="C6" i="13" s="1"/>
  <c r="L211" i="1"/>
  <c r="D5" i="13"/>
  <c r="C5" i="13" s="1"/>
  <c r="C115" i="2"/>
  <c r="F257" i="1"/>
  <c r="F271" i="1" s="1"/>
  <c r="C25" i="10"/>
  <c r="C25" i="13"/>
  <c r="H33" i="13"/>
  <c r="C132" i="2"/>
  <c r="C81" i="2"/>
  <c r="C62" i="2"/>
  <c r="C63" i="2" s="1"/>
  <c r="F112" i="1"/>
  <c r="C35" i="10"/>
  <c r="C16" i="13"/>
  <c r="L362" i="1"/>
  <c r="C27" i="10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E104" i="2"/>
  <c r="I663" i="1"/>
  <c r="K552" i="1" l="1"/>
  <c r="L545" i="1"/>
  <c r="F660" i="1"/>
  <c r="F664" i="1" s="1"/>
  <c r="E145" i="2"/>
  <c r="I662" i="1"/>
  <c r="H660" i="1"/>
  <c r="I661" i="1"/>
  <c r="G664" i="1"/>
  <c r="G667" i="1" s="1"/>
  <c r="G635" i="1"/>
  <c r="J635" i="1" s="1"/>
  <c r="E33" i="13"/>
  <c r="D35" i="13" s="1"/>
  <c r="H646" i="1"/>
  <c r="H648" i="1"/>
  <c r="J648" i="1" s="1"/>
  <c r="C128" i="2"/>
  <c r="L257" i="1"/>
  <c r="L271" i="1" s="1"/>
  <c r="G632" i="1" s="1"/>
  <c r="J632" i="1" s="1"/>
  <c r="C28" i="10"/>
  <c r="D23" i="10" s="1"/>
  <c r="C144" i="2"/>
  <c r="C104" i="2"/>
  <c r="C36" i="10"/>
  <c r="F193" i="1"/>
  <c r="G627" i="1" s="1"/>
  <c r="J627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H664" i="1"/>
  <c r="H672" i="1" s="1"/>
  <c r="C6" i="10" s="1"/>
  <c r="G672" i="1"/>
  <c r="C5" i="10" s="1"/>
  <c r="I664" i="1"/>
  <c r="I672" i="1" s="1"/>
  <c r="C7" i="10" s="1"/>
  <c r="C145" i="2"/>
  <c r="F672" i="1"/>
  <c r="C4" i="10" s="1"/>
  <c r="F667" i="1"/>
  <c r="D27" i="10"/>
  <c r="D10" i="10"/>
  <c r="D20" i="10"/>
  <c r="D13" i="10"/>
  <c r="D18" i="10"/>
  <c r="D26" i="10"/>
  <c r="D15" i="10"/>
  <c r="D11" i="10"/>
  <c r="C30" i="10"/>
  <c r="D25" i="10"/>
  <c r="D21" i="10"/>
  <c r="D17" i="10"/>
  <c r="D16" i="10"/>
  <c r="D19" i="10"/>
  <c r="D22" i="10"/>
  <c r="D12" i="10"/>
  <c r="D24" i="10"/>
  <c r="H656" i="1"/>
  <c r="C41" i="10"/>
  <c r="D38" i="10" s="1"/>
  <c r="H667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F130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<sst xmlns="http://schemas.openxmlformats.org/spreadsheetml/2006/main" count="3964" uniqueCount="922">
  <si>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</si>
  <si>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</si>
  <si>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</si>
  <si>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</si>
  <si>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</si>
  <si>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</si>
  <si>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</si>
  <si>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</si>
  <si>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</si>
  <si>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</si>
  <si>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</si>
  <si>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</si>
  <si>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</si>
  <si>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</si>
  <si>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</si>
  <si>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</si>
  <si>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</si>
  <si>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</si>
  <si>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</si>
  <si>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</si>
  <si>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</si>
  <si>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</si>
  <si>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</si>
  <si>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</si>
  <si>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</si>
  <si>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</si>
  <si>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</si>
  <si>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</si>
  <si>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</si>
  <si>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</si>
  <si>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</si>
  <si>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</si>
  <si>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</si>
  <si>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</si>
  <si>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</si>
  <si>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</si>
  <si>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</si>
  <si>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</si>
  <si>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</si>
  <si>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</si>
  <si>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</si>
  <si>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</si>
  <si>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</si>
  <si>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</si>
  <si>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</si>
  <si>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</si>
  <si>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</si>
  <si>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</si>
  <si>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</si>
  <si>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</si>
  <si>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</si>
  <si>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</si>
  <si>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</si>
  <si>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</si>
  <si>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</si>
  <si>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</si>
  <si>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</si>
  <si>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</si>
  <si>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</si>
  <si>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</si>
  <si>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</si>
  <si>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</si>
  <si>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</si>
  <si>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</si>
  <si>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</si>
  <si>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</si>
  <si>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</si>
  <si>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</si>
  <si>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</si>
  <si>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</si>
  <si>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</si>
  <si>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</si>
  <si>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</si>
  <si>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</si>
  <si>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</si>
  <si>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</si>
  <si>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</si>
  <si>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</si>
  <si>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</si>
  <si>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</si>
  <si>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</si>
  <si>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</si>
  <si>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</si>
  <si>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</si>
  <si>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</si>
  <si>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</si>
  <si>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</si>
  <si>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</si>
  <si>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</si>
  <si>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</si>
  <si>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</si>
  <si>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</si>
  <si>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</si>
  <si>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</si>
  <si>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</si>
  <si>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</si>
  <si>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</si>
  <si>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</si>
  <si>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</si>
  <si>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</si>
  <si>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</si>
  <si>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</si>
  <si>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</si>
  <si>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</si>
  <si>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</si>
  <si>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</si>
  <si>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</si>
  <si>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</si>
  <si>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</si>
  <si>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</si>
  <si>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</si>
  <si>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</si>
  <si>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</si>
  <si>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</si>
  <si>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</si>
  <si>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</si>
  <si>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</si>
  <si>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</si>
  <si>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</si>
  <si>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</si>
  <si>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</si>
  <si>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</si>
  <si>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</si>
  <si>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</si>
  <si>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</si>
  <si>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</si>
  <si>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</si>
  <si>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</si>
  <si>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</si>
  <si>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</si>
  <si>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</si>
  <si>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</si>
  <si>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</si>
  <si>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</si>
  <si>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</si>
  <si>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</si>
  <si>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</si>
  <si>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</si>
  <si>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</si>
  <si>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</si>
  <si>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</si>
  <si>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</si>
  <si>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</si>
  <si>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</si>
  <si>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</si>
  <si>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</si>
  <si>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</si>
  <si>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</si>
  <si>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</si>
  <si>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</si>
  <si>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</si>
  <si>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</si>
  <si>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</si>
  <si>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</si>
  <si>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</si>
  <si>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</si>
  <si>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</si>
  <si>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</si>
  <si>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</si>
  <si>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</si>
  <si>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</si>
  <si>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</si>
  <si>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</si>
  <si>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</si>
  <si>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</si>
  <si>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</si>
  <si>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</si>
  <si>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</si>
  <si>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</si>
  <si>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</si>
  <si>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</si>
  <si>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</si>
  <si>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</si>
  <si>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</si>
  <si>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</si>
  <si>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</si>
  <si>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</si>
  <si>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</si>
  <si>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</si>
  <si>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</si>
  <si>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</si>
  <si>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</si>
  <si>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</si>
  <si>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</si>
  <si>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</si>
  <si>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</si>
  <si>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</si>
  <si>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</si>
  <si>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</si>
  <si>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</si>
  <si>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</si>
  <si>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</si>
  <si>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</si>
  <si>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</si>
  <si>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</si>
  <si>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</si>
  <si>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</si>
  <si>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</si>
  <si>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</si>
  <si>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</si>
  <si>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</si>
  <si>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</si>
  <si>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</si>
  <si>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</si>
  <si>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</si>
  <si>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</si>
  <si>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</si>
  <si>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</si>
  <si>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</si>
  <si>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</si>
  <si>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</si>
  <si>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</si>
  <si>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</si>
  <si>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</si>
  <si>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</si>
  <si>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</si>
  <si>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</si>
  <si>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</si>
  <si>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</si>
  <si>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</si>
  <si>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</si>
  <si>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</si>
  <si>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</si>
  <si>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</si>
  <si>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</si>
  <si>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</si>
  <si>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</si>
  <si>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</si>
  <si>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</si>
  <si>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</si>
  <si>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</si>
  <si>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</si>
  <si>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</si>
  <si>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</si>
  <si>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</si>
  <si>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</si>
  <si>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</si>
  <si>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</si>
  <si>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</si>
  <si>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</si>
  <si>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</si>
  <si>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</si>
  <si>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</si>
  <si>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</si>
  <si>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</si>
  <si>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</si>
  <si>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</si>
  <si>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</si>
  <si>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</si>
  <si>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</si>
  <si>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</si>
  <si>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</si>
  <si>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</si>
  <si>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</si>
  <si>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</si>
  <si>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</si>
  <si>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</si>
  <si>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</si>
  <si>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</si>
  <si>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</si>
  <si>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</si>
  <si>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</si>
  <si>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</si>
  <si>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</si>
  <si>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</si>
  <si>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</si>
  <si>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</si>
  <si>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</si>
  <si>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</si>
  <si>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</si>
  <si>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</si>
  <si>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</si>
  <si>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</si>
  <si>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</si>
  <si>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</si>
  <si>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</si>
  <si>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</si>
  <si>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</si>
  <si>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</si>
  <si>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</si>
  <si>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</si>
  <si>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</si>
  <si>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</si>
  <si>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</si>
  <si>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</si>
  <si>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</si>
  <si>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</si>
  <si>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</si>
  <si>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</si>
  <si>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</si>
  <si>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</si>
  <si>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</si>
  <si>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</si>
  <si>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</si>
  <si>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</si>
  <si>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</si>
  <si>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</si>
  <si>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</si>
  <si>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</si>
  <si>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</si>
  <si>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</si>
  <si>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</si>
  <si>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</si>
  <si>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</si>
  <si>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</si>
  <si>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</si>
  <si>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</si>
  <si>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</si>
  <si>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</si>
  <si>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</si>
  <si>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</si>
  <si>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</si>
  <si>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</si>
  <si>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</si>
  <si>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</si>
  <si>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</si>
  <si>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</si>
  <si>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</si>
  <si>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</si>
  <si>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</si>
  <si>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</si>
  <si>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</si>
  <si>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</si>
  <si>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</si>
  <si>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</si>
  <si>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</si>
  <si>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</si>
  <si>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</si>
  <si>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</si>
  <si>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</si>
  <si>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</si>
  <si>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</si>
  <si>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</si>
  <si>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</si>
  <si>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</si>
  <si>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</si>
  <si>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</si>
  <si>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</si>
  <si>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</si>
  <si>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</si>
  <si>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</si>
  <si>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</si>
  <si>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</si>
  <si>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</si>
  <si>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</si>
  <si>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</si>
  <si>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</si>
  <si>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</si>
  <si>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</si>
  <si>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</si>
  <si>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</si>
  <si>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</si>
  <si>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</si>
  <si>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</si>
  <si>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</si>
  <si>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</si>
  <si>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</si>
  <si>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</si>
  <si>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</si>
  <si>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</si>
  <si>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</si>
  <si>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</si>
  <si>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</si>
  <si>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</si>
  <si>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</si>
  <si>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</si>
  <si>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</si>
  <si>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</si>
  <si>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</si>
  <si>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</si>
  <si>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</si>
  <si>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</si>
  <si>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</si>
  <si>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</si>
  <si>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</si>
  <si>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</si>
  <si>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</si>
  <si>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</si>
  <si>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</si>
  <si>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</si>
  <si>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</si>
  <si>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</si>
  <si>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</si>
  <si>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</si>
  <si>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</si>
  <si>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</si>
  <si>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</si>
  <si>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</si>
  <si>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</si>
  <si>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</si>
  <si>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</si>
  <si>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</si>
  <si>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</si>
  <si>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</si>
  <si>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</si>
  <si>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</si>
  <si>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</si>
  <si>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</si>
  <si>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</si>
  <si>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</si>
  <si>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</si>
  <si>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</si>
  <si>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</si>
  <si>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</si>
  <si>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</si>
  <si>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</si>
  <si>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</si>
  <si>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</si>
  <si>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</si>
  <si>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</si>
  <si>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</si>
  <si>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</si>
  <si>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</si>
  <si>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</si>
  <si>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</si>
  <si>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</si>
  <si>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</si>
  <si>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</si>
  <si>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</si>
  <si>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</si>
  <si>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</si>
  <si>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</si>
  <si>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</si>
  <si>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</si>
  <si>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</si>
  <si>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</si>
  <si>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</si>
  <si>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</si>
  <si>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</si>
  <si>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</si>
  <si>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</si>
  <si>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</si>
  <si>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</si>
  <si>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</si>
  <si>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</si>
  <si>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</si>
  <si>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</si>
  <si>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</si>
  <si>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</si>
  <si>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</si>
  <si>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</si>
  <si>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</si>
  <si>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</si>
  <si>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</si>
  <si>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</si>
  <si>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</si>
  <si>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</si>
  <si>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</si>
  <si>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</si>
  <si>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</si>
  <si>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</si>
  <si>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</si>
  <si>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</si>
  <si>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</si>
  <si>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</si>
  <si>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</si>
  <si>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</si>
  <si>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</si>
  <si>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</si>
  <si>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</si>
  <si>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</si>
  <si>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</si>
  <si>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</si>
  <si>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</si>
  <si>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</si>
  <si>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</si>
  <si>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</si>
  <si>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</si>
  <si>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</si>
  <si>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</si>
  <si>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</si>
  <si>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</si>
  <si>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</si>
  <si>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</si>
  <si>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</si>
  <si>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</si>
  <si>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</si>
  <si>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</si>
  <si>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</si>
  <si>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</si>
  <si>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</si>
  <si>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</si>
  <si>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</si>
  <si>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</si>
  <si>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</si>
  <si>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</si>
  <si>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</si>
  <si>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</si>
  <si>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</si>
  <si>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</si>
  <si>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</si>
  <si>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</si>
  <si>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</si>
  <si>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</si>
  <si>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</si>
  <si>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</si>
  <si>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</si>
  <si>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</si>
  <si>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</si>
  <si>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</si>
  <si>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</si>
  <si>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</si>
  <si>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</si>
  <si>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</si>
  <si>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</si>
  <si>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</si>
  <si>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</si>
  <si>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</si>
  <si>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</si>
  <si>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</si>
  <si>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</si>
  <si>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</si>
  <si>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</si>
  <si>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</si>
  <si>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</si>
  <si>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</si>
  <si>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</si>
  <si>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</si>
  <si>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</si>
  <si>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</si>
  <si>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</si>
  <si>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</si>
  <si>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</si>
  <si>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</si>
  <si>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</si>
  <si>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</si>
  <si>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</si>
  <si>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</si>
  <si>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</si>
  <si>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</si>
  <si>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</si>
  <si>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</si>
  <si>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</si>
  <si>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</si>
  <si>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</si>
  <si>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</si>
  <si>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</si>
  <si>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</si>
  <si>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</si>
  <si>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</si>
  <si>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</si>
  <si>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</si>
  <si>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</si>
  <si>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</si>
  <si>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</si>
  <si>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</si>
  <si>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</si>
  <si>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</si>
  <si>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</si>
  <si>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</si>
  <si>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</si>
  <si>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</si>
  <si>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</si>
  <si>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</si>
  <si>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</si>
  <si>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</si>
  <si>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</si>
  <si>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</si>
  <si>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</si>
  <si>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</si>
  <si>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</si>
  <si>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</si>
  <si>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</si>
  <si>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</si>
  <si>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</si>
  <si>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</si>
  <si>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</si>
  <si>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</si>
  <si>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</si>
  <si>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</si>
  <si>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</si>
  <si>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</si>
  <si>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</si>
  <si>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</si>
  <si>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</si>
  <si>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</si>
  <si>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</si>
  <si>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</si>
  <si>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</si>
  <si>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</si>
  <si>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</si>
  <si>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</si>
  <si>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</si>
  <si>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</si>
  <si>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</si>
  <si>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</si>
  <si>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</si>
  <si>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</si>
  <si>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</si>
  <si>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</si>
  <si>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</si>
  <si>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</si>
  <si>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</si>
  <si>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</si>
  <si>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</si>
  <si>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</si>
  <si>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</si>
  <si>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</si>
  <si>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</si>
  <si>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</si>
  <si>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</si>
  <si>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</si>
  <si>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</si>
  <si>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</si>
  <si>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</si>
  <si>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</si>
  <si>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</si>
  <si>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</si>
  <si>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</si>
  <si>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</si>
  <si>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</si>
  <si>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</si>
  <si>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</si>
  <si>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</si>
  <si>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</si>
  <si>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</si>
  <si>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</si>
  <si>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</si>
  <si>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</si>
  <si>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</si>
  <si>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</si>
  <si>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</si>
  <si>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</si>
  <si>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</si>
  <si>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</si>
  <si>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</si>
  <si>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</si>
  <si>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</si>
  <si>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</si>
  <si>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</si>
  <si>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</si>
  <si>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</si>
  <si>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</si>
  <si>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</si>
  <si>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</si>
  <si>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</si>
  <si>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</si>
  <si>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</si>
  <si>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</si>
  <si>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</si>
  <si>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</si>
  <si>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</si>
  <si>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</si>
  <si>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</si>
  <si>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</si>
  <si>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</si>
  <si>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</si>
  <si>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</si>
  <si>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</si>
  <si>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</si>
  <si>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</si>
  <si>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</si>
  <si>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</si>
  <si>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</si>
  <si>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</si>
  <si>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</si>
  <si>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</si>
  <si>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</si>
  <si>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</si>
  <si>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</si>
  <si>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</si>
  <si>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</si>
  <si>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</si>
  <si>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</si>
  <si>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</si>
  <si>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</si>
  <si>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</si>
  <si>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</si>
  <si>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</si>
  <si>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</si>
  <si>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</si>
  <si>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</si>
  <si>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</si>
  <si>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</si>
  <si>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</si>
  <si>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</si>
  <si>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</si>
  <si>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</si>
  <si>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</si>
  <si>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</si>
  <si>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</si>
  <si>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</si>
  <si>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</si>
  <si>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</si>
  <si>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</si>
  <si>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</si>
  <si>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</si>
  <si>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</si>
  <si>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</si>
  <si>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</si>
  <si>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</si>
  <si>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</si>
  <si>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</si>
  <si>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</si>
  <si>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</si>
  <si>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</si>
  <si>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</si>
  <si>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</si>
  <si>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</si>
  <si>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</si>
  <si>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</si>
  <si>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</si>
  <si>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</si>
  <si>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</si>
  <si>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</si>
  <si>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</si>
  <si>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</si>
  <si>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</si>
  <si>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</si>
  <si>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</si>
  <si>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</si>
  <si>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</si>
  <si>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</si>
  <si>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</si>
  <si>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</si>
  <si>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</si>
  <si>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</si>
  <si>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</si>
  <si>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</si>
  <si>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</si>
  <si>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</si>
  <si>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</si>
  <si>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</si>
  <si>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</si>
  <si>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</si>
  <si>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</si>
  <si>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</si>
  <si>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</si>
  <si>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</si>
  <si>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</si>
  <si>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</si>
  <si>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</si>
  <si>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</si>
  <si>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</si>
  <si>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</si>
  <si>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</si>
  <si>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</si>
  <si>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</si>
  <si>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</si>
  <si>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</si>
  <si>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</si>
  <si>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</si>
  <si>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</si>
  <si>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</si>
  <si>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</si>
  <si>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</si>
  <si>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</si>
  <si>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</si>
  <si>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</si>
  <si>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</si>
  <si>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</si>
  <si>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</si>
  <si>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</si>
  <si>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</si>
  <si>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</si>
  <si>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</si>
  <si>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</si>
  <si>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</si>
  <si>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</si>
  <si>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</si>
  <si>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</si>
  <si>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</si>
  <si>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</si>
  <si>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</si>
  <si>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</si>
  <si>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</si>
  <si>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</si>
  <si>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</si>
  <si>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</si>
  <si>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</si>
  <si>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</si>
  <si>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</si>
  <si>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</si>
  <si>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</si>
  <si>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</si>
  <si>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</si>
  <si>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</si>
  <si>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</si>
  <si>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</si>
  <si>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</si>
  <si>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</si>
  <si>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</si>
  <si>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</si>
  <si>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</si>
  <si>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</si>
  <si>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</si>
  <si>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</si>
  <si>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</si>
  <si>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</si>
  <si>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</si>
  <si>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</si>
  <si>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</si>
  <si>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</si>
  <si>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</si>
  <si>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</si>
  <si>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</si>
  <si>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</si>
  <si>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</si>
  <si>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</si>
  <si>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</si>
  <si>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</si>
  <si>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</si>
  <si>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</si>
  <si>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</si>
  <si>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</si>
  <si>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</si>
  <si>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</si>
  <si>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</si>
  <si>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</si>
  <si>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</si>
  <si>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</si>
  <si>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</si>
  <si>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</si>
  <si>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</si>
  <si>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</si>
  <si>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</si>
  <si>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</si>
  <si>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</si>
  <si>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</si>
  <si>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</si>
  <si>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</si>
  <si>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</si>
  <si>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</si>
  <si>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</si>
  <si>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</si>
  <si>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</si>
  <si>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</si>
  <si>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</si>
  <si>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</si>
  <si>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</si>
  <si>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</si>
  <si>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</si>
  <si>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</si>
  <si>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</si>
  <si>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</si>
  <si>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</si>
  <si>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</si>
  <si>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</si>
  <si>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</si>
  <si>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</si>
  <si>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</si>
  <si>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</si>
  <si>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</si>
  <si>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</si>
  <si>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</si>
  <si>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</si>
  <si>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</si>
  <si>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</si>
  <si>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</si>
  <si>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</si>
  <si>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</si>
  <si>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</si>
  <si>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</si>
  <si>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</si>
  <si>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</si>
  <si>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</si>
  <si>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</si>
  <si>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</si>
  <si>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</si>
  <si>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</si>
  <si>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</si>
  <si>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</si>
  <si>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</si>
  <si>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</si>
  <si>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</si>
  <si>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</si>
  <si>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</si>
  <si>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</si>
  <si>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</si>
  <si>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</si>
  <si>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</si>
  <si>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</si>
  <si>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</si>
  <si>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</si>
  <si>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</si>
  <si>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</si>
  <si>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</si>
  <si>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</si>
  <si>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</si>
  <si>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</si>
  <si>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</si>
  <si>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</si>
  <si>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</si>
  <si>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</si>
  <si>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</si>
  <si>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</si>
  <si>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</si>
  <si>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</si>
  <si>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</si>
  <si>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</si>
  <si>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</si>
  <si>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</si>
  <si>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</si>
  <si>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</si>
  <si>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</si>
  <si>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</si>
  <si>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</si>
  <si>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</si>
  <si>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</si>
  <si>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</si>
  <si>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</si>
  <si>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</si>
  <si>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</si>
  <si>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</si>
  <si>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</si>
  <si>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</si>
  <si>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</si>
  <si>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</si>
  <si>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</si>
  <si>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</si>
  <si>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</si>
  <si>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</si>
  <si>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8/08</t>
  </si>
  <si>
    <t>6/06</t>
  </si>
  <si>
    <t>8/07</t>
  </si>
  <si>
    <t>8/15</t>
  </si>
  <si>
    <t>7/26</t>
  </si>
  <si>
    <t>8/17</t>
  </si>
  <si>
    <t>11/14</t>
  </si>
  <si>
    <t>7/29</t>
  </si>
  <si>
    <t>Unrealizaed net loss @ 6/30/16 in the Trust funds</t>
  </si>
  <si>
    <t>BEDFORD SCHOOL DISTRICT- SAU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</si>
</sst>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921</v>
      </c>
      <c r="B2" s="21">
        <v>41</v>
      </c>
      <c r="C2" s="21">
        <v>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5480009.5499999998</v>
      </c>
      <c r="G9" s="18">
        <v>497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345370.2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61563.13</v>
      </c>
      <c r="G13" s="18">
        <v>11752.1</v>
      </c>
      <c r="H13" s="18">
        <v>256193.02</v>
      </c>
      <c r="I13" s="18"/>
      <c r="J13" s="67">
        <f>SUM(I442)</f>
        <v>483580.24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107698.81+8550</f>
        <v>116248.81</v>
      </c>
      <c r="G14" s="18">
        <v>700.24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3822.52</v>
      </c>
      <c r="G17" s="18">
        <v>8744.2000000000007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5661644.0099999988</v>
      </c>
      <c r="G19" s="41">
        <f>SUM(G9:G18)</f>
        <v>367063.74</v>
      </c>
      <c r="H19" s="41">
        <f>SUM(H9:H18)</f>
        <v>256193.02</v>
      </c>
      <c r="I19" s="41">
        <f>SUM(I9:I18)</f>
        <v>0</v>
      </c>
      <c r="J19" s="41">
        <f>SUM(J9:J18)</f>
        <v>483580.24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161890.37</f>
        <v>161890.37</v>
      </c>
      <c r="G22" s="18"/>
      <c r="H22" s="18">
        <v>183479.83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200010.97</f>
        <v>200010.97</v>
      </c>
      <c r="G24" s="18">
        <v>1774.63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2071340.36</f>
        <v>2071340.36</v>
      </c>
      <c r="G28" s="18"/>
      <c r="H28" s="18">
        <v>46239.5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-3846.42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111405</f>
        <v>111405</v>
      </c>
      <c r="G30" s="18">
        <v>72496</v>
      </c>
      <c r="H30" s="18">
        <v>26473.69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2540800.2800000003</v>
      </c>
      <c r="G32" s="41">
        <f>SUM(G22:G31)</f>
        <v>74270.63</v>
      </c>
      <c r="H32" s="41">
        <f>SUM(H22:H31)</f>
        <v>256193.02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3822.52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478518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292793.11</v>
      </c>
      <c r="H48" s="18"/>
      <c r="I48" s="18"/>
      <c r="J48" s="13">
        <f>SUM(I459)</f>
        <v>483580.24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228664.71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2409838.5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3120843.73</v>
      </c>
      <c r="G51" s="41">
        <f>SUM(G35:G50)</f>
        <v>292793.11</v>
      </c>
      <c r="H51" s="41">
        <f>SUM(H35:H50)</f>
        <v>0</v>
      </c>
      <c r="I51" s="41">
        <f>SUM(I35:I50)</f>
        <v>0</v>
      </c>
      <c r="J51" s="41">
        <f>SUM(J35:J50)</f>
        <v>483580.24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5661644.0099999998</v>
      </c>
      <c r="G52" s="41">
        <f>G51+G32</f>
        <v>367063.74</v>
      </c>
      <c r="H52" s="41">
        <f>H51+H32</f>
        <v>256193.02</v>
      </c>
      <c r="I52" s="41">
        <f>I51+I32</f>
        <v>0</v>
      </c>
      <c r="J52" s="41">
        <f>J51+J32</f>
        <v>483580.24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44548784</f>
        <v>44548784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100000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44648784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558653.86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72483.02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7696.5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80344.41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719177.79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11020.9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11020.9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8418.82</v>
      </c>
      <c r="G96" s="18"/>
      <c r="H96" s="18"/>
      <c r="I96" s="18"/>
      <c r="J96" s="18">
        <v>2566.2399999999998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1464376.29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104755.25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54670</v>
      </c>
      <c r="G102" s="18"/>
      <c r="H102" s="18">
        <v>53252.959999999999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2891.6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79827.48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250563.15000000002</v>
      </c>
      <c r="G111" s="41">
        <f>SUM(G96:G110)</f>
        <v>1464376.29</v>
      </c>
      <c r="H111" s="41">
        <f>SUM(H96:H110)</f>
        <v>53252.959999999999</v>
      </c>
      <c r="I111" s="41">
        <f>SUM(I96:I110)</f>
        <v>0</v>
      </c>
      <c r="J111" s="41">
        <f>SUM(J96:J110)</f>
        <v>2566.2399999999998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45629545.839999996</v>
      </c>
      <c r="G112" s="41">
        <f>G60+G111</f>
        <v>1464376.29</v>
      </c>
      <c r="H112" s="41">
        <f>H60+H79+H94+H111</f>
        <v>53252.959999999999</v>
      </c>
      <c r="I112" s="41">
        <f>I60+I111</f>
        <v>0</v>
      </c>
      <c r="J112" s="41">
        <f>J60+J111</f>
        <v>2566.2399999999998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4360792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8145289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14957.5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12521038.5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915006.69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481898.69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7098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5000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21188.97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1404003.38</v>
      </c>
      <c r="G136" s="41">
        <f>SUM(G123:G135)</f>
        <v>21188.97</v>
      </c>
      <c r="H136" s="41">
        <f>SUM(H123:H135)</f>
        <v>5000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13925041.879999999</v>
      </c>
      <c r="G140" s="41">
        <f>G121+SUM(G136:G137)</f>
        <v>21188.97</v>
      </c>
      <c r="H140" s="41">
        <f>H121+SUM(H136:H139)</f>
        <v>5000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191281.94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79465.899999999994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229049.57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828676.23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238421.4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238421.4</v>
      </c>
      <c r="G162" s="41">
        <f>SUM(G150:G161)</f>
        <v>229049.57</v>
      </c>
      <c r="H162" s="41">
        <f>SUM(H150:H161)</f>
        <v>1099424.0699999998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238421.4</v>
      </c>
      <c r="G169" s="41">
        <f>G147+G162+SUM(G163:G168)</f>
        <v>229049.57</v>
      </c>
      <c r="H169" s="41">
        <f>H147+H162+SUM(H163:H168)</f>
        <v>1099424.0699999998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1493.36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1537.12</v>
      </c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257767.49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259304.61</v>
      </c>
      <c r="G183" s="41">
        <f>SUM(G179:G182)</f>
        <v>1493.36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259304.61</v>
      </c>
      <c r="G192" s="41">
        <f>G183+SUM(G188:G191)</f>
        <v>1493.36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60052313.729999997</v>
      </c>
      <c r="G193" s="47">
        <f>G112+G140+G169+G192</f>
        <v>1716108.1900000002</v>
      </c>
      <c r="H193" s="47">
        <f>H112+H140+H169+H192</f>
        <v>1157677.0299999998</v>
      </c>
      <c r="I193" s="47">
        <f>I112+I140+I169+I192</f>
        <v>0</v>
      </c>
      <c r="J193" s="47">
        <f>J112+J140+J192</f>
        <v>2566.2399999999998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7765466.53+438854.85</f>
        <v>8204321.3799999999</v>
      </c>
      <c r="G197" s="18">
        <v>4208623.7699999996</v>
      </c>
      <c r="H197" s="18">
        <f>65751.28</f>
        <v>65751.28</v>
      </c>
      <c r="I197" s="18">
        <f>433198.12+63.6+3266.25</f>
        <v>436527.97</v>
      </c>
      <c r="J197" s="18">
        <f>15798.52</f>
        <v>15798.52</v>
      </c>
      <c r="K197" s="18"/>
      <c r="L197" s="19">
        <f>SUM(F197:K197)</f>
        <v>12931022.919999998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3014723.76+148554.07</f>
        <v>3163277.8299999996</v>
      </c>
      <c r="G198" s="18">
        <v>1622687.08</v>
      </c>
      <c r="H198" s="18">
        <v>383474.66</v>
      </c>
      <c r="I198" s="18">
        <f>30616.12+791.29</f>
        <v>31407.41</v>
      </c>
      <c r="J198" s="18"/>
      <c r="K198" s="18"/>
      <c r="L198" s="19">
        <f>SUM(F198:K198)</f>
        <v>5200846.9800000004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52608.32</v>
      </c>
      <c r="G200" s="18">
        <v>26986.83</v>
      </c>
      <c r="H200" s="18"/>
      <c r="I200" s="18"/>
      <c r="J200" s="18"/>
      <c r="K200" s="18"/>
      <c r="L200" s="19">
        <f>SUM(F200:K200)</f>
        <v>79595.149999999994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954312.92</v>
      </c>
      <c r="G202" s="18">
        <v>489540.07</v>
      </c>
      <c r="H202" s="18">
        <f>790657.57+44695.26</f>
        <v>835352.83</v>
      </c>
      <c r="I202" s="18">
        <f>15054.95+6003.46</f>
        <v>21058.41</v>
      </c>
      <c r="J202" s="18"/>
      <c r="K202" s="18"/>
      <c r="L202" s="19">
        <f t="shared" ref="L202:L208" si="0">SUM(F202:K202)</f>
        <v>2300264.23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298306.94</f>
        <v>298306.94</v>
      </c>
      <c r="G203" s="18">
        <f>99168.96+153024.44</f>
        <v>252193.40000000002</v>
      </c>
      <c r="H203" s="18">
        <f>33499.75</f>
        <v>33499.75</v>
      </c>
      <c r="I203" s="18">
        <f>41878.22+15539.23</f>
        <v>57417.45</v>
      </c>
      <c r="J203" s="18">
        <f>1488.25+196123.23</f>
        <v>197611.48</v>
      </c>
      <c r="K203" s="18">
        <f>20336.77</f>
        <v>20336.77</v>
      </c>
      <c r="L203" s="19">
        <f t="shared" si="0"/>
        <v>859365.79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388646.05</v>
      </c>
      <c r="G204" s="18">
        <v>199366.28</v>
      </c>
      <c r="H204" s="18">
        <f>3699.02+44755.88</f>
        <v>48454.899999999994</v>
      </c>
      <c r="I204" s="18">
        <f>10222.37</f>
        <v>10222.370000000001</v>
      </c>
      <c r="J204" s="18">
        <f>9789.26</f>
        <v>9789.26</v>
      </c>
      <c r="K204" s="18">
        <f>10310.26</f>
        <v>10310.26</v>
      </c>
      <c r="L204" s="19">
        <f t="shared" si="0"/>
        <v>666789.12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1003975.84+117645.17</f>
        <v>1121621.01</v>
      </c>
      <c r="G205" s="18">
        <v>575365.18000000005</v>
      </c>
      <c r="H205" s="18">
        <v>12194.33</v>
      </c>
      <c r="I205" s="18">
        <f>12625.72+5952.65</f>
        <v>18578.37</v>
      </c>
      <c r="J205" s="18">
        <f>461</f>
        <v>461</v>
      </c>
      <c r="K205" s="18">
        <v>9371.6</v>
      </c>
      <c r="L205" s="19">
        <f t="shared" si="0"/>
        <v>1737591.4900000002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119116.49</f>
        <v>119116.49</v>
      </c>
      <c r="G206" s="18">
        <v>61103.96</v>
      </c>
      <c r="H206" s="18">
        <f>109320.46</f>
        <v>109320.46</v>
      </c>
      <c r="I206" s="18"/>
      <c r="J206" s="18"/>
      <c r="K206" s="18"/>
      <c r="L206" s="19">
        <f t="shared" si="0"/>
        <v>289540.91000000003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592103.9+209684.25</f>
        <v>801788.15</v>
      </c>
      <c r="G207" s="18">
        <v>411298.45</v>
      </c>
      <c r="H207" s="18">
        <f>56650.16+837583.15</f>
        <v>894233.31</v>
      </c>
      <c r="I207" s="18">
        <f>359288.96+145831.91</f>
        <v>505120.87</v>
      </c>
      <c r="J207" s="18">
        <f>9340.18</f>
        <v>9340.18</v>
      </c>
      <c r="K207" s="18">
        <f>376.7</f>
        <v>376.7</v>
      </c>
      <c r="L207" s="19">
        <f t="shared" si="0"/>
        <v>2622157.6600000006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20082.5</v>
      </c>
      <c r="G208" s="18">
        <v>10301.85</v>
      </c>
      <c r="H208" s="18">
        <f>1230877.06</f>
        <v>1230877.06</v>
      </c>
      <c r="I208" s="18"/>
      <c r="J208" s="18"/>
      <c r="K208" s="18"/>
      <c r="L208" s="19">
        <f t="shared" si="0"/>
        <v>1261261.4100000001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18490.39</f>
        <v>18490.39</v>
      </c>
      <c r="I209" s="18"/>
      <c r="J209" s="18"/>
      <c r="K209" s="18"/>
      <c r="L209" s="19">
        <f>SUM(F209:K209)</f>
        <v>18490.39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15124081.59</v>
      </c>
      <c r="G211" s="41">
        <f t="shared" si="1"/>
        <v>7857466.8700000001</v>
      </c>
      <c r="H211" s="41">
        <f t="shared" si="1"/>
        <v>3631648.97</v>
      </c>
      <c r="I211" s="41">
        <f t="shared" si="1"/>
        <v>1080332.8499999999</v>
      </c>
      <c r="J211" s="41">
        <f t="shared" si="1"/>
        <v>233000.44</v>
      </c>
      <c r="K211" s="41">
        <f t="shared" si="1"/>
        <v>40395.329999999994</v>
      </c>
      <c r="L211" s="41">
        <f t="shared" si="1"/>
        <v>27966926.050000001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3019449.41+149210.65</f>
        <v>3168660.06</v>
      </c>
      <c r="G215" s="18">
        <v>1625448.03</v>
      </c>
      <c r="H215" s="18">
        <v>30702.59</v>
      </c>
      <c r="I215" s="18">
        <f>71803.33+1110.52</f>
        <v>72913.850000000006</v>
      </c>
      <c r="J215" s="18"/>
      <c r="K215" s="18"/>
      <c r="L215" s="19">
        <f>SUM(F215:K215)</f>
        <v>4897724.5299999993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848426.21+50508.38</f>
        <v>898934.59</v>
      </c>
      <c r="G216" s="18">
        <v>461132.29</v>
      </c>
      <c r="H216" s="18">
        <v>125134.62</v>
      </c>
      <c r="I216" s="18">
        <f>6547.73+269.04</f>
        <v>6816.7699999999995</v>
      </c>
      <c r="J216" s="18"/>
      <c r="K216" s="18"/>
      <c r="L216" s="19">
        <f>SUM(F216:K216)</f>
        <v>1492018.27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102352.12</v>
      </c>
      <c r="G218" s="18">
        <v>52504.23</v>
      </c>
      <c r="H218" s="18">
        <f>21685.82-11591.22</f>
        <v>10094.6</v>
      </c>
      <c r="I218" s="18">
        <v>12306.38</v>
      </c>
      <c r="J218" s="18"/>
      <c r="K218" s="18">
        <v>1430</v>
      </c>
      <c r="L218" s="19">
        <f>SUM(F218:K218)</f>
        <v>178687.33000000002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304127.93</f>
        <v>304127.93</v>
      </c>
      <c r="G220" s="18">
        <v>156010.47</v>
      </c>
      <c r="H220" s="18">
        <f>76868.56+15196.39</f>
        <v>92064.95</v>
      </c>
      <c r="I220" s="18">
        <f>2237.57+2041.17</f>
        <v>4278.74</v>
      </c>
      <c r="J220" s="18"/>
      <c r="K220" s="18"/>
      <c r="L220" s="19">
        <f t="shared" ref="L220:L226" si="2">SUM(F220:K220)</f>
        <v>556482.09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101424.36</f>
        <v>101424.36</v>
      </c>
      <c r="G221" s="18">
        <f>33717.45+52028.31</f>
        <v>85745.76</v>
      </c>
      <c r="H221" s="18">
        <f>408.29+11389.91</f>
        <v>11798.2</v>
      </c>
      <c r="I221" s="18">
        <f>16833.93+5283.24</f>
        <v>22117.17</v>
      </c>
      <c r="J221" s="18">
        <f>919.84+66681.9</f>
        <v>67601.739999999991</v>
      </c>
      <c r="K221" s="18">
        <f>6914.5</f>
        <v>6914.5</v>
      </c>
      <c r="L221" s="19">
        <f t="shared" si="2"/>
        <v>295601.73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132139.66</f>
        <v>132139.66</v>
      </c>
      <c r="G222" s="18">
        <v>67784.539999999994</v>
      </c>
      <c r="H222" s="18">
        <f>1257.67+15217</f>
        <v>16474.669999999998</v>
      </c>
      <c r="I222" s="18">
        <f>3475.61</f>
        <v>3475.61</v>
      </c>
      <c r="J222" s="18">
        <f>3328.35</f>
        <v>3328.35</v>
      </c>
      <c r="K222" s="18">
        <f>3505.49</f>
        <v>3505.49</v>
      </c>
      <c r="L222" s="19">
        <f t="shared" si="2"/>
        <v>226708.31999999998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368122.18+39999.36</f>
        <v>408121.54</v>
      </c>
      <c r="G223" s="18">
        <v>209356.74</v>
      </c>
      <c r="H223" s="18">
        <v>2969.75</v>
      </c>
      <c r="I223" s="18">
        <f>1795.88+2023.9</f>
        <v>3819.78</v>
      </c>
      <c r="J223" s="18">
        <f>156.74</f>
        <v>156.74</v>
      </c>
      <c r="K223" s="18">
        <v>1217</v>
      </c>
      <c r="L223" s="19">
        <f t="shared" si="2"/>
        <v>625641.55000000005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40499.6</f>
        <v>40499.599999999999</v>
      </c>
      <c r="G224" s="18">
        <v>20775.34</v>
      </c>
      <c r="H224" s="18">
        <f>37168.96</f>
        <v>37168.959999999999</v>
      </c>
      <c r="I224" s="18"/>
      <c r="J224" s="18"/>
      <c r="K224" s="18"/>
      <c r="L224" s="19">
        <f t="shared" si="2"/>
        <v>98443.9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143875.58+71292.65</f>
        <v>215168.22999999998</v>
      </c>
      <c r="G225" s="18">
        <v>110376.24</v>
      </c>
      <c r="H225" s="18">
        <f>19261.05+284778.27</f>
        <v>304039.32</v>
      </c>
      <c r="I225" s="18">
        <f>49582.85</f>
        <v>49582.85</v>
      </c>
      <c r="J225" s="18">
        <f>3175.66</f>
        <v>3175.66</v>
      </c>
      <c r="K225" s="18">
        <v>128.08000000000001</v>
      </c>
      <c r="L225" s="19">
        <f t="shared" si="2"/>
        <v>682470.38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6828.05</f>
        <v>6828.05</v>
      </c>
      <c r="G226" s="18">
        <v>3502.63</v>
      </c>
      <c r="H226" s="18">
        <f>4500+418498.2+11591.22</f>
        <v>434589.42</v>
      </c>
      <c r="I226" s="18"/>
      <c r="J226" s="18"/>
      <c r="K226" s="18"/>
      <c r="L226" s="19">
        <f t="shared" si="2"/>
        <v>444920.1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6286.73</v>
      </c>
      <c r="I227" s="18"/>
      <c r="J227" s="18"/>
      <c r="K227" s="18"/>
      <c r="L227" s="19">
        <f>SUM(F227:K227)</f>
        <v>6286.73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5378256.1399999997</v>
      </c>
      <c r="G229" s="41">
        <f>SUM(G215:G228)</f>
        <v>2792636.2700000005</v>
      </c>
      <c r="H229" s="41">
        <f>SUM(H215:H228)</f>
        <v>1071323.81</v>
      </c>
      <c r="I229" s="41">
        <f>SUM(I215:I228)</f>
        <v>175311.15000000002</v>
      </c>
      <c r="J229" s="41">
        <f>SUM(J215:J228)</f>
        <v>74262.490000000005</v>
      </c>
      <c r="K229" s="41">
        <f t="shared" si="3"/>
        <v>13195.07</v>
      </c>
      <c r="L229" s="41">
        <f t="shared" si="3"/>
        <v>9504984.9299999997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5062629.92+289644.2</f>
        <v>5352274.12</v>
      </c>
      <c r="G233" s="18">
        <v>2745590.65</v>
      </c>
      <c r="H233" s="18">
        <f>84368.68</f>
        <v>84368.68</v>
      </c>
      <c r="I233" s="18">
        <f>214541.43+1462.29+2155.72</f>
        <v>218159.44</v>
      </c>
      <c r="J233" s="18">
        <v>9303.73</v>
      </c>
      <c r="K233" s="18">
        <v>33382.44</v>
      </c>
      <c r="L233" s="19">
        <f>SUM(F233:K233)</f>
        <v>8443079.0599999987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1252684.28+98045.68</f>
        <v>1350729.96</v>
      </c>
      <c r="G234" s="18">
        <v>692892.68</v>
      </c>
      <c r="H234" s="18">
        <v>576970.21</v>
      </c>
      <c r="I234" s="18">
        <f>8261.23+522.25</f>
        <v>8783.48</v>
      </c>
      <c r="J234" s="18"/>
      <c r="K234" s="18"/>
      <c r="L234" s="19">
        <f>SUM(F234:K234)</f>
        <v>2629376.33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26601.69</v>
      </c>
      <c r="I235" s="18"/>
      <c r="J235" s="18"/>
      <c r="K235" s="18"/>
      <c r="L235" s="19">
        <f>SUM(F235:K235)</f>
        <v>26601.69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500677.48</v>
      </c>
      <c r="G236" s="18">
        <v>256835.76</v>
      </c>
      <c r="H236" s="18">
        <f>206395.01-14985.73-94399.34</f>
        <v>97009.94</v>
      </c>
      <c r="I236" s="18">
        <f>37032.73+5020.95</f>
        <v>42053.68</v>
      </c>
      <c r="J236" s="18"/>
      <c r="K236" s="18">
        <v>45031.94</v>
      </c>
      <c r="L236" s="19">
        <f>SUM(F236:K236)</f>
        <v>941608.8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496713.63</v>
      </c>
      <c r="G238" s="18">
        <v>254802.4</v>
      </c>
      <c r="H238" s="18">
        <f>239638.7+29498.87</f>
        <v>269137.57</v>
      </c>
      <c r="I238" s="18">
        <f>9689.99+3962.28</f>
        <v>13652.27</v>
      </c>
      <c r="J238" s="18"/>
      <c r="K238" s="18"/>
      <c r="L238" s="19">
        <f t="shared" ref="L238:L244" si="4">SUM(F238:K238)</f>
        <v>1034305.8700000001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196882.58</f>
        <v>196882.58</v>
      </c>
      <c r="G239" s="18">
        <f>65451.51+100996.13</f>
        <v>166447.64000000001</v>
      </c>
      <c r="H239" s="18">
        <f>524.5+22109.83</f>
        <v>22634.33</v>
      </c>
      <c r="I239" s="18">
        <f>37259+10255.89</f>
        <v>47514.89</v>
      </c>
      <c r="J239" s="18">
        <f>2747.91+129441.33</f>
        <v>132189.24</v>
      </c>
      <c r="K239" s="18">
        <f>13422.26</f>
        <v>13422.26</v>
      </c>
      <c r="L239" s="19">
        <f t="shared" si="4"/>
        <v>579090.93999999994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256506.39</f>
        <v>256506.39</v>
      </c>
      <c r="G240" s="18">
        <v>131581.74</v>
      </c>
      <c r="H240" s="18">
        <f>2441.35+29538.88</f>
        <v>31980.23</v>
      </c>
      <c r="I240" s="18">
        <f>6746.76</f>
        <v>6746.76</v>
      </c>
      <c r="J240" s="18">
        <f>6460.91</f>
        <v>6460.91</v>
      </c>
      <c r="K240" s="18">
        <f>6804.77</f>
        <v>6804.77</v>
      </c>
      <c r="L240" s="19">
        <f t="shared" si="4"/>
        <v>440080.8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916959.31+77645.81</f>
        <v>994605.12000000011</v>
      </c>
      <c r="G241" s="18">
        <v>510209.02</v>
      </c>
      <c r="H241" s="18">
        <v>11981.99</v>
      </c>
      <c r="I241" s="18">
        <f>1803.58+3928.75</f>
        <v>5732.33</v>
      </c>
      <c r="J241" s="18">
        <f>304.26</f>
        <v>304.26</v>
      </c>
      <c r="K241" s="18">
        <f>42292.06</f>
        <v>42292.06</v>
      </c>
      <c r="L241" s="19">
        <f t="shared" si="4"/>
        <v>1565124.7800000003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78616.88</f>
        <v>78616.88</v>
      </c>
      <c r="G242" s="18">
        <v>40328.61</v>
      </c>
      <c r="H242" s="18">
        <f>72151.5</f>
        <v>72151.5</v>
      </c>
      <c r="I242" s="18"/>
      <c r="J242" s="18"/>
      <c r="K242" s="18"/>
      <c r="L242" s="19">
        <f t="shared" si="4"/>
        <v>191096.99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258337.77+138391.61</f>
        <v>396729.38</v>
      </c>
      <c r="G243" s="18">
        <v>203512.83</v>
      </c>
      <c r="H243" s="18">
        <f>37389.1+552804.88</f>
        <v>590193.98</v>
      </c>
      <c r="I243" s="18">
        <f>375833.36+96249.06</f>
        <v>472082.42</v>
      </c>
      <c r="J243" s="18">
        <f>6164.52</f>
        <v>6164.52</v>
      </c>
      <c r="K243" s="18">
        <f>248.62</f>
        <v>248.62</v>
      </c>
      <c r="L243" s="19">
        <f t="shared" si="4"/>
        <v>1668931.75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13254.45</f>
        <v>13254.45</v>
      </c>
      <c r="G244" s="18">
        <v>6799.22</v>
      </c>
      <c r="H244" s="18">
        <f>812378.86+14985.73+94399.34</f>
        <v>921763.92999999993</v>
      </c>
      <c r="I244" s="18"/>
      <c r="J244" s="18"/>
      <c r="K244" s="18"/>
      <c r="L244" s="19">
        <f t="shared" si="4"/>
        <v>941817.6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12203.66</v>
      </c>
      <c r="I245" s="18"/>
      <c r="J245" s="18"/>
      <c r="K245" s="18"/>
      <c r="L245" s="19">
        <f>SUM(F245:K245)</f>
        <v>12203.66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9636989.9900000021</v>
      </c>
      <c r="G247" s="41">
        <f t="shared" si="5"/>
        <v>5009000.5500000007</v>
      </c>
      <c r="H247" s="41">
        <f t="shared" si="5"/>
        <v>2716997.71</v>
      </c>
      <c r="I247" s="41">
        <f t="shared" si="5"/>
        <v>814725.27</v>
      </c>
      <c r="J247" s="41">
        <f t="shared" si="5"/>
        <v>154422.66</v>
      </c>
      <c r="K247" s="41">
        <f t="shared" si="5"/>
        <v>141182.09</v>
      </c>
      <c r="L247" s="41">
        <f t="shared" si="5"/>
        <v>18473318.27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15407.46</v>
      </c>
      <c r="G251" s="18">
        <v>7903.66</v>
      </c>
      <c r="H251" s="18"/>
      <c r="I251" s="18">
        <v>501.79</v>
      </c>
      <c r="J251" s="18"/>
      <c r="K251" s="18"/>
      <c r="L251" s="19">
        <f t="shared" si="6"/>
        <v>23812.91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15407.46</v>
      </c>
      <c r="G256" s="41">
        <f t="shared" si="7"/>
        <v>7903.66</v>
      </c>
      <c r="H256" s="41">
        <f t="shared" si="7"/>
        <v>0</v>
      </c>
      <c r="I256" s="41">
        <f t="shared" si="7"/>
        <v>501.79</v>
      </c>
      <c r="J256" s="41">
        <f t="shared" si="7"/>
        <v>0</v>
      </c>
      <c r="K256" s="41">
        <f t="shared" si="7"/>
        <v>0</v>
      </c>
      <c r="L256" s="41">
        <f>SUM(F256:K256)</f>
        <v>23812.91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30154735.180000003</v>
      </c>
      <c r="G257" s="41">
        <f t="shared" si="8"/>
        <v>15667007.350000001</v>
      </c>
      <c r="H257" s="41">
        <f t="shared" si="8"/>
        <v>7419970.4900000002</v>
      </c>
      <c r="I257" s="41">
        <f t="shared" si="8"/>
        <v>2070871.06</v>
      </c>
      <c r="J257" s="41">
        <f t="shared" si="8"/>
        <v>461685.58999999997</v>
      </c>
      <c r="K257" s="41">
        <f t="shared" si="8"/>
        <v>194772.49</v>
      </c>
      <c r="L257" s="41">
        <f t="shared" si="8"/>
        <v>55969042.159999996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2765000</v>
      </c>
      <c r="L260" s="19">
        <f>SUM(F260:K260)</f>
        <v>2765000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1418172.5</v>
      </c>
      <c r="L261" s="19">
        <f>SUM(F261:K261)</f>
        <v>1418172.5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1493.36</v>
      </c>
      <c r="L263" s="19">
        <f>SUM(F263:K263)</f>
        <v>1493.36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4184665.86</v>
      </c>
      <c r="L270" s="41">
        <f t="shared" si="9"/>
        <v>4184665.86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30154735.180000003</v>
      </c>
      <c r="G271" s="42">
        <f t="shared" si="11"/>
        <v>15667007.350000001</v>
      </c>
      <c r="H271" s="42">
        <f t="shared" si="11"/>
        <v>7419970.4900000002</v>
      </c>
      <c r="I271" s="42">
        <f t="shared" si="11"/>
        <v>2070871.06</v>
      </c>
      <c r="J271" s="42">
        <f t="shared" si="11"/>
        <v>461685.58999999997</v>
      </c>
      <c r="K271" s="42">
        <f t="shared" si="11"/>
        <v>4379438.3499999996</v>
      </c>
      <c r="L271" s="42">
        <f t="shared" si="11"/>
        <v>60153708.019999996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196755.19</v>
      </c>
      <c r="G276" s="18">
        <v>16299.21</v>
      </c>
      <c r="H276" s="18"/>
      <c r="I276" s="18">
        <f>998+1679.06</f>
        <v>2677.06</v>
      </c>
      <c r="J276" s="18"/>
      <c r="K276" s="18"/>
      <c r="L276" s="19">
        <f>SUM(F276:K276)</f>
        <v>215731.46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264336.63+12176</f>
        <v>276512.63</v>
      </c>
      <c r="G277" s="18"/>
      <c r="H277" s="18">
        <v>80800.009999999995</v>
      </c>
      <c r="I277" s="18"/>
      <c r="J277" s="18"/>
      <c r="K277" s="18"/>
      <c r="L277" s="19">
        <f>SUM(F277:K277)</f>
        <v>357312.64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46578+30385.46</f>
        <v>76963.459999999992</v>
      </c>
      <c r="G281" s="18"/>
      <c r="H281" s="18">
        <f>100+2026.64</f>
        <v>2126.6400000000003</v>
      </c>
      <c r="I281" s="18">
        <v>358.31</v>
      </c>
      <c r="J281" s="18"/>
      <c r="K281" s="18"/>
      <c r="L281" s="19">
        <f t="shared" ref="L281:L287" si="12">SUM(F281:K281)</f>
        <v>79448.409999999989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19732.95+11787.96</f>
        <v>31520.91</v>
      </c>
      <c r="G282" s="18">
        <f>894.52</f>
        <v>894.52</v>
      </c>
      <c r="H282" s="18">
        <v>300</v>
      </c>
      <c r="I282" s="18"/>
      <c r="J282" s="18"/>
      <c r="K282" s="18"/>
      <c r="L282" s="19">
        <f t="shared" si="12"/>
        <v>32715.43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935</v>
      </c>
      <c r="I287" s="18"/>
      <c r="J287" s="18"/>
      <c r="K287" s="18"/>
      <c r="L287" s="19">
        <f t="shared" si="12"/>
        <v>935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185.98</v>
      </c>
      <c r="I288" s="18"/>
      <c r="J288" s="18"/>
      <c r="K288" s="18"/>
      <c r="L288" s="19">
        <f>SUM(F288:K288)</f>
        <v>185.98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581752.19000000006</v>
      </c>
      <c r="G290" s="42">
        <f t="shared" si="13"/>
        <v>17193.73</v>
      </c>
      <c r="H290" s="42">
        <f t="shared" si="13"/>
        <v>84347.62999999999</v>
      </c>
      <c r="I290" s="42">
        <f t="shared" si="13"/>
        <v>3035.37</v>
      </c>
      <c r="J290" s="42">
        <f t="shared" si="13"/>
        <v>0</v>
      </c>
      <c r="K290" s="42">
        <f t="shared" si="13"/>
        <v>0</v>
      </c>
      <c r="L290" s="41">
        <f t="shared" si="13"/>
        <v>686328.92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339.32</v>
      </c>
      <c r="J295" s="18"/>
      <c r="K295" s="18"/>
      <c r="L295" s="19">
        <f>SUM(F295:K295)</f>
        <v>339.32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89874.45</v>
      </c>
      <c r="G296" s="18"/>
      <c r="H296" s="18">
        <v>27472</v>
      </c>
      <c r="I296" s="18"/>
      <c r="J296" s="18"/>
      <c r="K296" s="18"/>
      <c r="L296" s="19">
        <f>SUM(F296:K296)</f>
        <v>117346.45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1235.75</v>
      </c>
      <c r="J298" s="18"/>
      <c r="K298" s="18"/>
      <c r="L298" s="19">
        <f>SUM(F298:K298)</f>
        <v>1235.75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15836.52</v>
      </c>
      <c r="G300" s="18"/>
      <c r="H300" s="18">
        <v>34</v>
      </c>
      <c r="I300" s="18"/>
      <c r="J300" s="18"/>
      <c r="K300" s="18"/>
      <c r="L300" s="19">
        <f t="shared" ref="L300:L306" si="14">SUM(F300:K300)</f>
        <v>15870.52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6709.2</v>
      </c>
      <c r="G301" s="18"/>
      <c r="H301" s="18"/>
      <c r="I301" s="18"/>
      <c r="J301" s="18"/>
      <c r="K301" s="18"/>
      <c r="L301" s="19">
        <f t="shared" si="14"/>
        <v>6709.2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317.89999999999998</v>
      </c>
      <c r="I306" s="18"/>
      <c r="J306" s="18"/>
      <c r="K306" s="18"/>
      <c r="L306" s="19">
        <f t="shared" si="14"/>
        <v>317.89999999999998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63.23</v>
      </c>
      <c r="I307" s="18"/>
      <c r="J307" s="18"/>
      <c r="K307" s="18"/>
      <c r="L307" s="19">
        <f>SUM(F307:K307)</f>
        <v>63.23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112420.17</v>
      </c>
      <c r="G309" s="42">
        <f t="shared" si="15"/>
        <v>0</v>
      </c>
      <c r="H309" s="42">
        <f t="shared" si="15"/>
        <v>27887.13</v>
      </c>
      <c r="I309" s="42">
        <f t="shared" si="15"/>
        <v>1575.07</v>
      </c>
      <c r="J309" s="42">
        <f t="shared" si="15"/>
        <v>0</v>
      </c>
      <c r="K309" s="42">
        <f t="shared" si="15"/>
        <v>0</v>
      </c>
      <c r="L309" s="41">
        <f t="shared" si="15"/>
        <v>141882.37000000002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658.68</v>
      </c>
      <c r="J314" s="18"/>
      <c r="K314" s="18"/>
      <c r="L314" s="19">
        <f>SUM(F314:K314)</f>
        <v>658.68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174462.17</v>
      </c>
      <c r="G315" s="18"/>
      <c r="H315" s="18">
        <v>53328</v>
      </c>
      <c r="I315" s="18"/>
      <c r="J315" s="18"/>
      <c r="K315" s="18"/>
      <c r="L315" s="19">
        <f>SUM(F315:K315)</f>
        <v>227790.17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51445.82</v>
      </c>
      <c r="K317" s="18"/>
      <c r="L317" s="19">
        <f>SUM(F317:K317)</f>
        <v>51445.82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30741.48</v>
      </c>
      <c r="G319" s="18"/>
      <c r="H319" s="18">
        <v>66</v>
      </c>
      <c r="I319" s="18"/>
      <c r="J319" s="18"/>
      <c r="K319" s="18"/>
      <c r="L319" s="19">
        <f t="shared" ref="L319:L325" si="16">SUM(F319:K319)</f>
        <v>30807.48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13023.75</v>
      </c>
      <c r="G320" s="18"/>
      <c r="H320" s="18"/>
      <c r="I320" s="18"/>
      <c r="J320" s="18"/>
      <c r="K320" s="18"/>
      <c r="L320" s="19">
        <f t="shared" si="16"/>
        <v>13023.75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617.1</v>
      </c>
      <c r="I325" s="18"/>
      <c r="J325" s="18"/>
      <c r="K325" s="18"/>
      <c r="L325" s="19">
        <f t="shared" si="16"/>
        <v>617.1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122.74</v>
      </c>
      <c r="I326" s="18"/>
      <c r="J326" s="18"/>
      <c r="K326" s="18"/>
      <c r="L326" s="19">
        <f>SUM(F326:K326)</f>
        <v>122.74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218227.40000000002</v>
      </c>
      <c r="G328" s="42">
        <f t="shared" si="17"/>
        <v>0</v>
      </c>
      <c r="H328" s="42">
        <f t="shared" si="17"/>
        <v>54133.84</v>
      </c>
      <c r="I328" s="42">
        <f t="shared" si="17"/>
        <v>658.68</v>
      </c>
      <c r="J328" s="42">
        <f t="shared" si="17"/>
        <v>51445.82</v>
      </c>
      <c r="K328" s="42">
        <f t="shared" si="17"/>
        <v>0</v>
      </c>
      <c r="L328" s="41">
        <f t="shared" si="17"/>
        <v>324465.73999999993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5000</v>
      </c>
      <c r="G333" s="18"/>
      <c r="H333" s="18"/>
      <c r="I333" s="18"/>
      <c r="J333" s="18"/>
      <c r="K333" s="18"/>
      <c r="L333" s="19">
        <f t="shared" si="18"/>
        <v>5000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5000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5000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917399.76000000013</v>
      </c>
      <c r="G338" s="41">
        <f t="shared" si="20"/>
        <v>17193.73</v>
      </c>
      <c r="H338" s="41">
        <f t="shared" si="20"/>
        <v>166368.59999999998</v>
      </c>
      <c r="I338" s="41">
        <f t="shared" si="20"/>
        <v>5269.12</v>
      </c>
      <c r="J338" s="41">
        <f t="shared" si="20"/>
        <v>51445.82</v>
      </c>
      <c r="K338" s="41">
        <f t="shared" si="20"/>
        <v>0</v>
      </c>
      <c r="L338" s="41">
        <f t="shared" si="20"/>
        <v>1157677.03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917399.76000000013</v>
      </c>
      <c r="G352" s="41">
        <f>G338</f>
        <v>17193.73</v>
      </c>
      <c r="H352" s="41">
        <f>H338</f>
        <v>166368.59999999998</v>
      </c>
      <c r="I352" s="41">
        <f>I338</f>
        <v>5269.12</v>
      </c>
      <c r="J352" s="41">
        <f>J338</f>
        <v>51445.82</v>
      </c>
      <c r="K352" s="47">
        <f>K338+K351</f>
        <v>0</v>
      </c>
      <c r="L352" s="41">
        <f>L338+L351</f>
        <v>1157677.03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242761.36</v>
      </c>
      <c r="G358" s="18">
        <v>54835.55</v>
      </c>
      <c r="H358" s="18">
        <v>22209.93</v>
      </c>
      <c r="I358" s="18">
        <v>422408.22</v>
      </c>
      <c r="J358" s="18">
        <v>9845.59</v>
      </c>
      <c r="K358" s="18">
        <v>747.5</v>
      </c>
      <c r="L358" s="13">
        <f>SUM(F358:K358)</f>
        <v>752808.14999999991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85837.54</v>
      </c>
      <c r="G359" s="18">
        <v>18644.09</v>
      </c>
      <c r="H359" s="18">
        <v>7279.81</v>
      </c>
      <c r="I359" s="18">
        <v>221410.74</v>
      </c>
      <c r="J359" s="18">
        <v>2093.2399999999998</v>
      </c>
      <c r="K359" s="18">
        <v>254.15</v>
      </c>
      <c r="L359" s="19">
        <f>SUM(F359:K359)</f>
        <v>335519.57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182287.21</v>
      </c>
      <c r="G360" s="18">
        <v>36191.46</v>
      </c>
      <c r="H360" s="18">
        <v>8612.4699999999993</v>
      </c>
      <c r="I360" s="18">
        <v>363525.18</v>
      </c>
      <c r="J360" s="18">
        <v>4063.35</v>
      </c>
      <c r="K360" s="18">
        <v>493.35</v>
      </c>
      <c r="L360" s="19">
        <f>SUM(F360:K360)</f>
        <v>595173.0199999999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1537.12</v>
      </c>
      <c r="L361" s="13">
        <f>SUM(F361:K361)</f>
        <v>1537.12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510886.11</v>
      </c>
      <c r="G362" s="47">
        <f t="shared" si="22"/>
        <v>109671.1</v>
      </c>
      <c r="H362" s="47">
        <f t="shared" si="22"/>
        <v>38102.21</v>
      </c>
      <c r="I362" s="47">
        <f t="shared" si="22"/>
        <v>1007344.1399999999</v>
      </c>
      <c r="J362" s="47">
        <f t="shared" si="22"/>
        <v>16002.18</v>
      </c>
      <c r="K362" s="47">
        <f t="shared" si="22"/>
        <v>3032.12</v>
      </c>
      <c r="L362" s="47">
        <f t="shared" si="22"/>
        <v>1685037.8599999999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382941.86</v>
      </c>
      <c r="G367" s="18">
        <v>202897.94</v>
      </c>
      <c r="H367" s="18">
        <v>338613.44</v>
      </c>
      <c r="I367" s="56">
        <f>SUM(F367:H367)</f>
        <v>924453.24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39466.36</v>
      </c>
      <c r="G368" s="63">
        <v>18512.8</v>
      </c>
      <c r="H368" s="63">
        <v>24911.74</v>
      </c>
      <c r="I368" s="56">
        <f>SUM(F368:H368)</f>
        <v>82890.900000000009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422408.22</v>
      </c>
      <c r="G369" s="47">
        <f>SUM(G367:G368)</f>
        <v>221410.74</v>
      </c>
      <c r="H369" s="47">
        <f>SUM(H367:H368)</f>
        <v>363525.18</v>
      </c>
      <c r="I369" s="47">
        <f>SUM(I367:I368)</f>
        <v>1007344.14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257767.49</v>
      </c>
      <c r="L381" s="13">
        <f t="shared" si="23"/>
        <v>257767.49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257767.49</v>
      </c>
      <c r="L382" s="47">
        <f t="shared" si="24"/>
        <v>257767.49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1677.24</v>
      </c>
      <c r="I387" s="18"/>
      <c r="J387" s="24" t="s">
        <v>289</v>
      </c>
      <c r="K387" s="24" t="s">
        <v>289</v>
      </c>
      <c r="L387" s="56">
        <f t="shared" ref="L387:L392" si="25">SUM(F387:K387)</f>
        <v>1677.24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50</v>
      </c>
      <c r="I389" s="18"/>
      <c r="J389" s="24" t="s">
        <v>289</v>
      </c>
      <c r="K389" s="24" t="s">
        <v>289</v>
      </c>
      <c r="L389" s="56">
        <f t="shared" si="25"/>
        <v>50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1727.24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1727.24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0</v>
      </c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839</v>
      </c>
      <c r="I398" s="18"/>
      <c r="J398" s="24" t="s">
        <v>289</v>
      </c>
      <c r="K398" s="24" t="s">
        <v>289</v>
      </c>
      <c r="L398" s="56">
        <f t="shared" si="26"/>
        <v>839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839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839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2566.2399999999998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2566.2399999999998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328558.24</v>
      </c>
      <c r="G442" s="18">
        <v>155022</v>
      </c>
      <c r="H442" s="18"/>
      <c r="I442" s="56">
        <f t="shared" si="33"/>
        <v>483580.24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328558.24</v>
      </c>
      <c r="G446" s="13">
        <f>SUM(G439:G445)</f>
        <v>155022</v>
      </c>
      <c r="H446" s="13">
        <f>SUM(H439:H445)</f>
        <v>0</v>
      </c>
      <c r="I446" s="13">
        <f>SUM(I439:I445)</f>
        <v>483580.24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328558.24</v>
      </c>
      <c r="G459" s="18">
        <v>155022</v>
      </c>
      <c r="H459" s="18"/>
      <c r="I459" s="56">
        <f t="shared" si="34"/>
        <v>483580.24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328558.24</v>
      </c>
      <c r="G460" s="83">
        <f>SUM(G454:G459)</f>
        <v>155022</v>
      </c>
      <c r="H460" s="83">
        <f>SUM(H454:H459)</f>
        <v>0</v>
      </c>
      <c r="I460" s="83">
        <f>SUM(I454:I459)</f>
        <v>483580.24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328558.24</v>
      </c>
      <c r="G461" s="42">
        <f>G452+G460</f>
        <v>155022</v>
      </c>
      <c r="H461" s="42">
        <f>H452+H460</f>
        <v>0</v>
      </c>
      <c r="I461" s="42">
        <f>I452+I460</f>
        <v>483580.24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3222238.02</v>
      </c>
      <c r="G465" s="18">
        <v>261722.78</v>
      </c>
      <c r="H465" s="18">
        <v>0</v>
      </c>
      <c r="I465" s="18">
        <v>257767.49</v>
      </c>
      <c r="J465" s="18">
        <v>481870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60052313.729999997</v>
      </c>
      <c r="G468" s="18">
        <v>1716108.19</v>
      </c>
      <c r="H468" s="18">
        <v>1157677.03</v>
      </c>
      <c r="I468" s="18"/>
      <c r="J468" s="18">
        <v>2566.2399999999998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60052313.729999997</v>
      </c>
      <c r="G470" s="53">
        <f>SUM(G468:G469)</f>
        <v>1716108.19</v>
      </c>
      <c r="H470" s="53">
        <f>SUM(H468:H469)</f>
        <v>1157677.03</v>
      </c>
      <c r="I470" s="53">
        <f>SUM(I468:I469)</f>
        <v>0</v>
      </c>
      <c r="J470" s="53">
        <f>SUM(J468:J469)</f>
        <v>2566.2399999999998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60153708.020000003</v>
      </c>
      <c r="G472" s="18">
        <v>1685037.86</v>
      </c>
      <c r="H472" s="18">
        <v>1157677.03</v>
      </c>
      <c r="I472" s="18">
        <v>257767.49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>
        <v>0</v>
      </c>
      <c r="J473" s="18">
        <v>856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60153708.020000003</v>
      </c>
      <c r="G474" s="53">
        <f>SUM(G472:G473)</f>
        <v>1685037.86</v>
      </c>
      <c r="H474" s="53">
        <f>SUM(H472:H473)</f>
        <v>1157677.03</v>
      </c>
      <c r="I474" s="53">
        <f>SUM(I472:I473)</f>
        <v>257767.49</v>
      </c>
      <c r="J474" s="53">
        <f>SUM(J472:J473)</f>
        <v>856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3120843.7299999967</v>
      </c>
      <c r="G476" s="53">
        <f>(G465+G470)- G474</f>
        <v>292793.10999999987</v>
      </c>
      <c r="H476" s="53">
        <f>(H465+H470)- H474</f>
        <v>0</v>
      </c>
      <c r="I476" s="53">
        <f>(I465+I470)- I474</f>
        <v>0</v>
      </c>
      <c r="J476" s="53">
        <f>(J465+J470)- J474</f>
        <v>483580.24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920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>
        <v>10</v>
      </c>
      <c r="I490" s="154">
        <v>15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 t="s">
        <v>914</v>
      </c>
      <c r="I491" s="154" t="s">
        <v>918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4" t="s">
        <v>917</v>
      </c>
      <c r="I492" s="154" t="s">
        <v>919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3935000</v>
      </c>
      <c r="G493" s="18">
        <v>800000</v>
      </c>
      <c r="H493" s="18">
        <v>2681350</v>
      </c>
      <c r="I493" s="18">
        <v>32715000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3.34</v>
      </c>
      <c r="G494" s="18">
        <v>4.5199999999999996</v>
      </c>
      <c r="H494" s="18">
        <v>4.28</v>
      </c>
      <c r="I494" s="18">
        <v>2.63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1545000</v>
      </c>
      <c r="G495" s="18">
        <v>480000</v>
      </c>
      <c r="H495" s="18">
        <v>795000</v>
      </c>
      <c r="I495" s="18">
        <v>32160000</v>
      </c>
      <c r="J495" s="18"/>
      <c r="K495" s="53">
        <f>SUM(F495:J495)</f>
        <v>34980000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>
        <v>40000</v>
      </c>
      <c r="H497" s="18">
        <v>265000</v>
      </c>
      <c r="I497" s="18">
        <v>2070000</v>
      </c>
      <c r="J497" s="18"/>
      <c r="K497" s="53">
        <f t="shared" si="35"/>
        <v>2765000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1155000</v>
      </c>
      <c r="G498" s="204">
        <f t="shared" ref="G498:I498" si="36">G495-G497</f>
        <v>440000</v>
      </c>
      <c r="H498" s="204">
        <f t="shared" si="36"/>
        <v>530000</v>
      </c>
      <c r="I498" s="204">
        <f t="shared" si="36"/>
        <v>30090000</v>
      </c>
      <c r="J498" s="204"/>
      <c r="K498" s="205">
        <f t="shared" si="35"/>
        <v>32215000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73281</v>
      </c>
      <c r="G499" s="18">
        <v>110305</v>
      </c>
      <c r="H499" s="18">
        <v>26500</v>
      </c>
      <c r="I499" s="18">
        <v>10623425</v>
      </c>
      <c r="J499" s="18"/>
      <c r="K499" s="53">
        <f t="shared" si="35"/>
        <v>10833511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1228281</v>
      </c>
      <c r="G500" s="42">
        <f>SUM(G498:G499)</f>
        <v>550305</v>
      </c>
      <c r="H500" s="42">
        <f>SUM(H498:H499)</f>
        <v>556500</v>
      </c>
      <c r="I500" s="42">
        <f>SUM(I498:I499)</f>
        <v>40713425</v>
      </c>
      <c r="J500" s="42">
        <f>SUM(J498:J499)</f>
        <v>0</v>
      </c>
      <c r="K500" s="42">
        <f t="shared" si="35"/>
        <v>43048511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>
        <v>40000</v>
      </c>
      <c r="H501" s="204">
        <v>265000</v>
      </c>
      <c r="I501" s="204">
        <v>1970000</v>
      </c>
      <c r="J501" s="204"/>
      <c r="K501" s="205">
        <f t="shared" si="35"/>
        <v>2665000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40938</v>
      </c>
      <c r="G502" s="18">
        <v>18950</v>
      </c>
      <c r="H502" s="18">
        <v>19875</v>
      </c>
      <c r="I502" s="18">
        <v>1253150</v>
      </c>
      <c r="J502" s="18"/>
      <c r="K502" s="53">
        <f t="shared" si="35"/>
        <v>1332913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430938</v>
      </c>
      <c r="G503" s="42">
        <f>SUM(G501:G502)</f>
        <v>58950</v>
      </c>
      <c r="H503" s="42">
        <f>SUM(H501:H502)</f>
        <v>284875</v>
      </c>
      <c r="I503" s="42">
        <f>SUM(I501:I502)</f>
        <v>3223150</v>
      </c>
      <c r="J503" s="42">
        <f>SUM(J501:J502)</f>
        <v>0</v>
      </c>
      <c r="K503" s="42">
        <f t="shared" si="35"/>
        <v>3997913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3208777.65</v>
      </c>
      <c r="G521" s="18">
        <v>1646027.41</v>
      </c>
      <c r="H521" s="18">
        <v>464274.67</v>
      </c>
      <c r="I521" s="18">
        <v>17739.37</v>
      </c>
      <c r="J521" s="18"/>
      <c r="K521" s="18"/>
      <c r="L521" s="88">
        <f>SUM(F521:K521)</f>
        <v>5336819.0999999996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955093.04</v>
      </c>
      <c r="G522" s="18">
        <v>489940.25</v>
      </c>
      <c r="H522" s="18">
        <v>152606.62</v>
      </c>
      <c r="I522" s="18">
        <v>3849.11</v>
      </c>
      <c r="J522" s="18"/>
      <c r="K522" s="18"/>
      <c r="L522" s="88">
        <f>SUM(F522:K522)</f>
        <v>1601489.0200000003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1525192.14</v>
      </c>
      <c r="G523" s="18">
        <v>782387.67</v>
      </c>
      <c r="H523" s="18">
        <v>630298.21</v>
      </c>
      <c r="I523" s="18">
        <v>8783.48</v>
      </c>
      <c r="J523" s="18"/>
      <c r="K523" s="18"/>
      <c r="L523" s="88">
        <f>SUM(F523:K523)</f>
        <v>2946661.5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5689062.8300000001</v>
      </c>
      <c r="G524" s="108">
        <f t="shared" ref="G524:L524" si="37">SUM(G521:G523)</f>
        <v>2918355.33</v>
      </c>
      <c r="H524" s="108">
        <f t="shared" si="37"/>
        <v>1247179.5</v>
      </c>
      <c r="I524" s="108">
        <f t="shared" si="37"/>
        <v>30371.96</v>
      </c>
      <c r="J524" s="108">
        <f t="shared" si="37"/>
        <v>0</v>
      </c>
      <c r="K524" s="108">
        <f t="shared" si="37"/>
        <v>0</v>
      </c>
      <c r="L524" s="89">
        <f t="shared" si="37"/>
        <v>9884969.620000001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483362.48</v>
      </c>
      <c r="G526" s="18">
        <v>247953.58</v>
      </c>
      <c r="H526" s="18">
        <v>758392.6</v>
      </c>
      <c r="I526" s="18">
        <v>7405.23</v>
      </c>
      <c r="J526" s="18"/>
      <c r="K526" s="18"/>
      <c r="L526" s="88">
        <f>SUM(F526:K526)</f>
        <v>1497113.89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95294.24</v>
      </c>
      <c r="G527" s="18">
        <v>48883.7</v>
      </c>
      <c r="H527" s="18">
        <v>74693.67</v>
      </c>
      <c r="I527" s="18">
        <v>2084.6799999999998</v>
      </c>
      <c r="J527" s="18"/>
      <c r="K527" s="18"/>
      <c r="L527" s="88">
        <f>SUM(F527:K527)</f>
        <v>220956.28999999998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48637.73</v>
      </c>
      <c r="G528" s="18">
        <v>24950.01</v>
      </c>
      <c r="H528" s="18">
        <v>225369.24</v>
      </c>
      <c r="I528" s="18">
        <v>3962.28</v>
      </c>
      <c r="J528" s="18"/>
      <c r="K528" s="18"/>
      <c r="L528" s="88">
        <f>SUM(F528:K528)</f>
        <v>302919.26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627294.44999999995</v>
      </c>
      <c r="G529" s="89">
        <f t="shared" ref="G529:L529" si="38">SUM(G526:G528)</f>
        <v>321787.28999999998</v>
      </c>
      <c r="H529" s="89">
        <f t="shared" si="38"/>
        <v>1058455.51</v>
      </c>
      <c r="I529" s="89">
        <f t="shared" si="38"/>
        <v>13452.19</v>
      </c>
      <c r="J529" s="89">
        <f t="shared" si="38"/>
        <v>0</v>
      </c>
      <c r="K529" s="89">
        <f t="shared" si="38"/>
        <v>0</v>
      </c>
      <c r="L529" s="89">
        <f t="shared" si="38"/>
        <v>2020989.44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129040.89</v>
      </c>
      <c r="G531" s="18">
        <v>66194.94</v>
      </c>
      <c r="H531" s="18">
        <v>2335.19</v>
      </c>
      <c r="I531" s="18">
        <v>543.62</v>
      </c>
      <c r="J531" s="18">
        <v>9789.26</v>
      </c>
      <c r="K531" s="18">
        <v>1679.89</v>
      </c>
      <c r="L531" s="88">
        <f>SUM(F531:K531)</f>
        <v>209583.79000000004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43873.9</v>
      </c>
      <c r="G532" s="18">
        <v>22506.28</v>
      </c>
      <c r="H532" s="18">
        <v>793.96</v>
      </c>
      <c r="I532" s="18">
        <v>184.83</v>
      </c>
      <c r="J532" s="18">
        <v>3328.35</v>
      </c>
      <c r="K532" s="18">
        <v>571.16</v>
      </c>
      <c r="L532" s="88">
        <f>SUM(F532:K532)</f>
        <v>71258.48000000001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106957.58</v>
      </c>
      <c r="G533" s="18">
        <v>54866.720000000001</v>
      </c>
      <c r="H533" s="18">
        <v>1541.23</v>
      </c>
      <c r="I533" s="18">
        <v>358.79</v>
      </c>
      <c r="J533" s="18">
        <v>6460.91</v>
      </c>
      <c r="K533" s="18">
        <v>1108.72</v>
      </c>
      <c r="L533" s="88">
        <f>SUM(F533:K533)</f>
        <v>171293.95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279872.37</v>
      </c>
      <c r="G534" s="89">
        <f t="shared" ref="G534:L534" si="39">SUM(G531:G533)</f>
        <v>143567.94</v>
      </c>
      <c r="H534" s="89">
        <f t="shared" si="39"/>
        <v>4670.38</v>
      </c>
      <c r="I534" s="89">
        <f t="shared" si="39"/>
        <v>1087.24</v>
      </c>
      <c r="J534" s="89">
        <f t="shared" si="39"/>
        <v>19578.52</v>
      </c>
      <c r="K534" s="89">
        <f t="shared" si="39"/>
        <v>3359.7700000000004</v>
      </c>
      <c r="L534" s="89">
        <f t="shared" si="39"/>
        <v>452136.22000000003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12225.61</v>
      </c>
      <c r="I536" s="18"/>
      <c r="J536" s="18"/>
      <c r="K536" s="18"/>
      <c r="L536" s="88">
        <f>SUM(F536:K536)</f>
        <v>12225.61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4156.71</v>
      </c>
      <c r="I537" s="18"/>
      <c r="J537" s="18"/>
      <c r="K537" s="18"/>
      <c r="L537" s="88">
        <f>SUM(F537:K537)</f>
        <v>4156.71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8068.9</v>
      </c>
      <c r="I538" s="18"/>
      <c r="J538" s="18"/>
      <c r="K538" s="18"/>
      <c r="L538" s="88">
        <f>SUM(F538:K538)</f>
        <v>8068.9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24451.22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24451.22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5761.2</v>
      </c>
      <c r="G541" s="18">
        <v>2955.36</v>
      </c>
      <c r="H541" s="18">
        <v>352411.49</v>
      </c>
      <c r="I541" s="18"/>
      <c r="J541" s="18"/>
      <c r="K541" s="18"/>
      <c r="L541" s="88">
        <f>SUM(F541:K541)</f>
        <v>361128.05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1958.81</v>
      </c>
      <c r="G542" s="18">
        <v>1004.82</v>
      </c>
      <c r="H542" s="18">
        <v>119819.9</v>
      </c>
      <c r="I542" s="18"/>
      <c r="J542" s="18"/>
      <c r="K542" s="18"/>
      <c r="L542" s="88">
        <f>SUM(F542:K542)</f>
        <v>122783.53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3802.39</v>
      </c>
      <c r="G543" s="18">
        <v>1950.54</v>
      </c>
      <c r="H543" s="18">
        <v>232591.58</v>
      </c>
      <c r="I543" s="18"/>
      <c r="J543" s="18"/>
      <c r="K543" s="18"/>
      <c r="L543" s="88">
        <f>SUM(F543:K543)</f>
        <v>238344.50999999998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11522.4</v>
      </c>
      <c r="G544" s="193">
        <f t="shared" ref="G544:L544" si="41">SUM(G541:G543)</f>
        <v>5910.72</v>
      </c>
      <c r="H544" s="193">
        <f t="shared" si="41"/>
        <v>704822.97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722256.09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6607752.0500000007</v>
      </c>
      <c r="G545" s="89">
        <f t="shared" ref="G545:L545" si="42">G524+G529+G534+G539+G544</f>
        <v>3389621.2800000003</v>
      </c>
      <c r="H545" s="89">
        <f t="shared" si="42"/>
        <v>3039579.58</v>
      </c>
      <c r="I545" s="89">
        <f t="shared" si="42"/>
        <v>44911.39</v>
      </c>
      <c r="J545" s="89">
        <f t="shared" si="42"/>
        <v>19578.52</v>
      </c>
      <c r="K545" s="89">
        <f t="shared" si="42"/>
        <v>3359.7700000000004</v>
      </c>
      <c r="L545" s="89">
        <f t="shared" si="42"/>
        <v>13104802.590000002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5336819.0999999996</v>
      </c>
      <c r="G549" s="87">
        <f>L526</f>
        <v>1497113.89</v>
      </c>
      <c r="H549" s="87">
        <f>L531</f>
        <v>209583.79000000004</v>
      </c>
      <c r="I549" s="87">
        <f>L536</f>
        <v>12225.61</v>
      </c>
      <c r="J549" s="87">
        <f>L541</f>
        <v>361128.05</v>
      </c>
      <c r="K549" s="87">
        <f>SUM(F549:J549)</f>
        <v>7416870.4399999995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1601489.0200000003</v>
      </c>
      <c r="G550" s="87">
        <f>L527</f>
        <v>220956.28999999998</v>
      </c>
      <c r="H550" s="87">
        <f>L532</f>
        <v>71258.48000000001</v>
      </c>
      <c r="I550" s="87">
        <f>L537</f>
        <v>4156.71</v>
      </c>
      <c r="J550" s="87">
        <f>L542</f>
        <v>122783.53</v>
      </c>
      <c r="K550" s="87">
        <f>SUM(F550:J550)</f>
        <v>2020644.0300000003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2946661.5</v>
      </c>
      <c r="G551" s="87">
        <f>L528</f>
        <v>302919.26</v>
      </c>
      <c r="H551" s="87">
        <f>L533</f>
        <v>171293.95</v>
      </c>
      <c r="I551" s="87">
        <f>L538</f>
        <v>8068.9</v>
      </c>
      <c r="J551" s="87">
        <f>L543</f>
        <v>238344.50999999998</v>
      </c>
      <c r="K551" s="87">
        <f>SUM(F551:J551)</f>
        <v>3667288.1199999996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9884969.620000001</v>
      </c>
      <c r="G552" s="89">
        <f t="shared" si="43"/>
        <v>2020989.44</v>
      </c>
      <c r="H552" s="89">
        <f t="shared" si="43"/>
        <v>452136.22000000003</v>
      </c>
      <c r="I552" s="89">
        <f t="shared" si="43"/>
        <v>24451.22</v>
      </c>
      <c r="J552" s="89">
        <f t="shared" si="43"/>
        <v>722256.09</v>
      </c>
      <c r="K552" s="89">
        <f t="shared" si="43"/>
        <v>13104802.589999998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5290.67</v>
      </c>
      <c r="G562" s="18">
        <v>0</v>
      </c>
      <c r="H562" s="18"/>
      <c r="I562" s="18"/>
      <c r="J562" s="18"/>
      <c r="K562" s="18"/>
      <c r="L562" s="88">
        <f>SUM(F562:K562)</f>
        <v>5290.67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51876.83</v>
      </c>
      <c r="G563" s="18">
        <v>25688.84</v>
      </c>
      <c r="H563" s="18"/>
      <c r="I563" s="18"/>
      <c r="J563" s="18"/>
      <c r="K563" s="18"/>
      <c r="L563" s="88">
        <f>SUM(F563:K563)</f>
        <v>77565.67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3491.84</v>
      </c>
      <c r="G564" s="18">
        <v>0</v>
      </c>
      <c r="H564" s="18"/>
      <c r="I564" s="18"/>
      <c r="J564" s="18"/>
      <c r="K564" s="18"/>
      <c r="L564" s="88">
        <f>SUM(F564:K564)</f>
        <v>3491.84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60659.34</v>
      </c>
      <c r="G565" s="89">
        <f t="shared" si="45"/>
        <v>25688.84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86348.18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231012.8</v>
      </c>
      <c r="G567" s="18">
        <v>118504.13</v>
      </c>
      <c r="H567" s="18"/>
      <c r="I567" s="18">
        <v>13668.04</v>
      </c>
      <c r="J567" s="18"/>
      <c r="K567" s="18"/>
      <c r="L567" s="88">
        <f>SUM(F567:K567)</f>
        <v>363184.97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33716</v>
      </c>
      <c r="G568" s="18">
        <v>17295.509999999998</v>
      </c>
      <c r="H568" s="18"/>
      <c r="I568" s="18">
        <v>2967.66</v>
      </c>
      <c r="J568" s="18"/>
      <c r="K568" s="18"/>
      <c r="L568" s="88">
        <f>SUM(F568:K568)</f>
        <v>53979.17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264728.8</v>
      </c>
      <c r="G570" s="193">
        <f t="shared" ref="G570:L570" si="46">SUM(G567:G569)</f>
        <v>135799.64000000001</v>
      </c>
      <c r="H570" s="193">
        <f t="shared" si="46"/>
        <v>0</v>
      </c>
      <c r="I570" s="193">
        <f t="shared" si="46"/>
        <v>16635.7</v>
      </c>
      <c r="J570" s="193">
        <f t="shared" si="46"/>
        <v>0</v>
      </c>
      <c r="K570" s="193">
        <f t="shared" si="46"/>
        <v>0</v>
      </c>
      <c r="L570" s="193">
        <f t="shared" si="46"/>
        <v>417164.13999999996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325388.14</v>
      </c>
      <c r="G571" s="89">
        <f t="shared" ref="G571:L571" si="47">G560+G565+G570</f>
        <v>161488.48000000001</v>
      </c>
      <c r="H571" s="89">
        <f t="shared" si="47"/>
        <v>0</v>
      </c>
      <c r="I571" s="89">
        <f t="shared" si="47"/>
        <v>16635.7</v>
      </c>
      <c r="J571" s="89">
        <f t="shared" si="47"/>
        <v>0</v>
      </c>
      <c r="K571" s="89">
        <f t="shared" si="47"/>
        <v>0</v>
      </c>
      <c r="L571" s="89">
        <f t="shared" si="47"/>
        <v>503512.31999999995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40001.06</v>
      </c>
      <c r="G579" s="18"/>
      <c r="H579" s="18"/>
      <c r="I579" s="87">
        <f t="shared" si="48"/>
        <v>40001.06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342978.6</v>
      </c>
      <c r="G582" s="18">
        <v>124752.12</v>
      </c>
      <c r="H582" s="18">
        <v>566630.21</v>
      </c>
      <c r="I582" s="87">
        <f t="shared" si="48"/>
        <v>1034360.9299999999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26601.69</v>
      </c>
      <c r="I584" s="87">
        <f t="shared" si="48"/>
        <v>26601.69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895647.39</v>
      </c>
      <c r="I591" s="18">
        <v>304520.11</v>
      </c>
      <c r="J591" s="18">
        <v>591127.28</v>
      </c>
      <c r="K591" s="104">
        <f t="shared" ref="K591:K597" si="49">SUM(H591:J591)</f>
        <v>1791294.78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365614.02</v>
      </c>
      <c r="I592" s="18">
        <v>124308.77</v>
      </c>
      <c r="J592" s="18">
        <v>241305.25</v>
      </c>
      <c r="K592" s="104">
        <f t="shared" si="49"/>
        <v>731228.04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11591.22</v>
      </c>
      <c r="J594" s="18">
        <v>94399.34</v>
      </c>
      <c r="K594" s="104">
        <f t="shared" si="49"/>
        <v>105990.56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4500</v>
      </c>
      <c r="J595" s="18">
        <v>14985.73</v>
      </c>
      <c r="K595" s="104">
        <f t="shared" si="49"/>
        <v>19485.73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1261261.4100000001</v>
      </c>
      <c r="I598" s="108">
        <f>SUM(I591:I597)</f>
        <v>444920.1</v>
      </c>
      <c r="J598" s="108">
        <f>SUM(J591:J597)</f>
        <v>941817.6</v>
      </c>
      <c r="K598" s="108">
        <f>SUM(K591:K597)</f>
        <v>2647999.1100000003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233000.44</v>
      </c>
      <c r="I604" s="18">
        <v>74262.490000000005</v>
      </c>
      <c r="J604" s="18">
        <f>51445.82+154422.66</f>
        <v>205868.48</v>
      </c>
      <c r="K604" s="104">
        <f>SUM(H604:J604)</f>
        <v>513131.41000000003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233000.44</v>
      </c>
      <c r="I605" s="108">
        <f>SUM(I602:I604)</f>
        <v>74262.490000000005</v>
      </c>
      <c r="J605" s="108">
        <f>SUM(J602:J604)</f>
        <v>205868.48</v>
      </c>
      <c r="K605" s="108">
        <f>SUM(K602:K604)</f>
        <v>513131.41000000003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5819.52</v>
      </c>
      <c r="G612" s="18"/>
      <c r="H612" s="18"/>
      <c r="I612" s="18"/>
      <c r="J612" s="18"/>
      <c r="K612" s="18"/>
      <c r="L612" s="88">
        <f>SUM(F612:K612)</f>
        <v>5819.52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93571.38</v>
      </c>
      <c r="G613" s="18"/>
      <c r="H613" s="18"/>
      <c r="I613" s="18"/>
      <c r="J613" s="18"/>
      <c r="K613" s="18"/>
      <c r="L613" s="88">
        <f>SUM(F613:K613)</f>
        <v>93571.38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99390.900000000009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99390.900000000009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5661644.0099999988</v>
      </c>
      <c r="H617" s="109">
        <f>SUM(F52)</f>
        <v>5661644.0099999998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367063.74</v>
      </c>
      <c r="H618" s="109">
        <f>SUM(G52)</f>
        <v>367063.74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256193.02</v>
      </c>
      <c r="H619" s="109">
        <f>SUM(H52)</f>
        <v>256193.02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483580.24</v>
      </c>
      <c r="H621" s="109">
        <f>SUM(J52)</f>
        <v>483580.24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3120843.73</v>
      </c>
      <c r="H622" s="109">
        <f>F476</f>
        <v>3120843.7299999967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292793.11</v>
      </c>
      <c r="H623" s="109">
        <f>G476</f>
        <v>292793.10999999987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483580.24</v>
      </c>
      <c r="H626" s="109">
        <f>J476</f>
        <v>483580.24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60052313.729999997</v>
      </c>
      <c r="H627" s="104">
        <f>SUM(F468)</f>
        <v>60052313.729999997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1716108.1900000002</v>
      </c>
      <c r="H628" s="104">
        <f>SUM(G468)</f>
        <v>1716108.19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1157677.0299999998</v>
      </c>
      <c r="H629" s="104">
        <f>SUM(H468)</f>
        <v>1157677.03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2566.2399999999998</v>
      </c>
      <c r="H631" s="104">
        <f>SUM(J468)</f>
        <v>2566.2399999999998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60153708.019999996</v>
      </c>
      <c r="H632" s="104">
        <f>SUM(F472)</f>
        <v>60153708.020000003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1157677.03</v>
      </c>
      <c r="H633" s="104">
        <f>SUM(H472)</f>
        <v>1157677.03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1007344.1399999999</v>
      </c>
      <c r="H634" s="104">
        <f>I369</f>
        <v>1007344.14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1685037.8599999999</v>
      </c>
      <c r="H635" s="104">
        <f>SUM(G472)</f>
        <v>1685037.86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257767.49</v>
      </c>
      <c r="H636" s="104">
        <f>SUM(I472)</f>
        <v>257767.49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2566.2399999999998</v>
      </c>
      <c r="H637" s="164">
        <f>SUM(J468)</f>
        <v>2566.2399999999998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328558.24</v>
      </c>
      <c r="H639" s="104">
        <f>SUM(F461)</f>
        <v>328558.24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155022</v>
      </c>
      <c r="H640" s="104">
        <f>SUM(G461)</f>
        <v>155022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483580.24</v>
      </c>
      <c r="H642" s="104">
        <f>SUM(I461)</f>
        <v>483580.24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2566.2399999999998</v>
      </c>
      <c r="H644" s="104">
        <f>H408</f>
        <v>2566.2399999999998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2566.2399999999998</v>
      </c>
      <c r="H646" s="104">
        <f>L408</f>
        <v>2566.2399999999998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2647999.1100000003</v>
      </c>
      <c r="H647" s="104">
        <f>L208+L226+L244</f>
        <v>2647999.1100000003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513131.41000000003</v>
      </c>
      <c r="H648" s="104">
        <f>(J257+J338)-(J255+J336)</f>
        <v>513131.41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1261261.4100000001</v>
      </c>
      <c r="H649" s="104">
        <f>H598</f>
        <v>1261261.4100000001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444920.1</v>
      </c>
      <c r="H650" s="104">
        <f>I598</f>
        <v>444920.1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941817.6</v>
      </c>
      <c r="H651" s="104">
        <f>J598</f>
        <v>941817.6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1493.36</v>
      </c>
      <c r="H652" s="104">
        <f>K263+K345</f>
        <v>1493.36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29406063.120000001</v>
      </c>
      <c r="G660" s="19">
        <f>(L229+L309+L359)</f>
        <v>9982386.8699999992</v>
      </c>
      <c r="H660" s="19">
        <f>(L247+L328+L360)</f>
        <v>19392957.029999997</v>
      </c>
      <c r="I660" s="19">
        <f>SUM(F660:H660)</f>
        <v>58781407.019999996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654822.64402138814</v>
      </c>
      <c r="G661" s="19">
        <f>(L359/IF(SUM(L358:L360)=0,1,SUM(L358:L360))*(SUM(G97:G110)))</f>
        <v>291848.34402804921</v>
      </c>
      <c r="H661" s="19">
        <f>(L360/IF(SUM(L358:L360)=0,1,SUM(L358:L360))*(SUM(G97:G110)))</f>
        <v>517705.30195056275</v>
      </c>
      <c r="I661" s="19">
        <f>SUM(F661:H661)</f>
        <v>1464376.29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1262196.4100000001</v>
      </c>
      <c r="G662" s="19">
        <f>(L226+L306)-(J226+J306)</f>
        <v>445238</v>
      </c>
      <c r="H662" s="19">
        <f>(L244+L325)-(J244+J325)</f>
        <v>942434.7</v>
      </c>
      <c r="I662" s="19">
        <f>SUM(F662:H662)</f>
        <v>2649869.1100000003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615980.1</v>
      </c>
      <c r="G663" s="199">
        <f>SUM(G575:G587)+SUM(I602:I604)+L612</f>
        <v>204834.12999999998</v>
      </c>
      <c r="H663" s="199">
        <f>SUM(H575:H587)+SUM(J602:J604)+L613</f>
        <v>892671.75999999989</v>
      </c>
      <c r="I663" s="19">
        <f>SUM(F663:H663)</f>
        <v>1713485.9899999998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26873063.965978611</v>
      </c>
      <c r="G664" s="19">
        <f>G660-SUM(G661:G663)</f>
        <v>9040466.3959719501</v>
      </c>
      <c r="H664" s="19">
        <f>H660-SUM(H661:H663)</f>
        <v>17040145.268049434</v>
      </c>
      <c r="I664" s="19">
        <f>I660-SUM(I661:I663)</f>
        <v>52953675.629999995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2125.11</v>
      </c>
      <c r="G665" s="248">
        <v>753.3</v>
      </c>
      <c r="H665" s="248">
        <v>1467.79</v>
      </c>
      <c r="I665" s="19">
        <f>SUM(F665:H665)</f>
        <v>4346.2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12645.49</v>
      </c>
      <c r="G667" s="19">
        <f>ROUND(G664/G665,2)</f>
        <v>12001.15</v>
      </c>
      <c r="H667" s="19">
        <f>ROUND(H664/H665,2)</f>
        <v>11609.39</v>
      </c>
      <c r="I667" s="19">
        <f>ROUND(I664/I665,2)</f>
        <v>12183.9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-14.89</v>
      </c>
      <c r="I670" s="19">
        <f>SUM(F670:H670)</f>
        <v>-14.89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12645.49</v>
      </c>
      <c r="G672" s="19">
        <f>ROUND((G664+G669)/(G665+G670),2)</f>
        <v>12001.15</v>
      </c>
      <c r="H672" s="19">
        <f>ROUND((H664+H669)/(H665+H670),2)</f>
        <v>11728.37</v>
      </c>
      <c r="I672" s="19">
        <f>ROUND((I664+I669)/(I665+I670),2)</f>
        <v>12225.79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BEDFORD SCHOOL DISTRICT- SAU 25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16922010.75</v>
      </c>
      <c r="C9" s="229">
        <f>'DOE25'!G197+'DOE25'!G215+'DOE25'!G233+'DOE25'!G276+'DOE25'!G295+'DOE25'!G314</f>
        <v>8595961.6600000001</v>
      </c>
    </row>
    <row r="10" spans="1:3" x14ac:dyDescent="0.2">
      <c r="A10" t="s">
        <v>779</v>
      </c>
      <c r="B10" s="240">
        <v>16135938.890000001</v>
      </c>
      <c r="C10" s="240">
        <v>8241761.4299999997</v>
      </c>
    </row>
    <row r="11" spans="1:3" x14ac:dyDescent="0.2">
      <c r="A11" t="s">
        <v>780</v>
      </c>
      <c r="B11" s="240">
        <v>488761.75</v>
      </c>
      <c r="C11" s="240">
        <v>250723.27</v>
      </c>
    </row>
    <row r="12" spans="1:3" x14ac:dyDescent="0.2">
      <c r="A12" t="s">
        <v>781</v>
      </c>
      <c r="B12" s="240">
        <v>297310.11</v>
      </c>
      <c r="C12" s="240">
        <v>103476.96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16922010.75</v>
      </c>
      <c r="C13" s="231">
        <f>SUM(C10:C12)</f>
        <v>8595961.6600000001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5953791.629999999</v>
      </c>
      <c r="C18" s="229">
        <f>'DOE25'!G198+'DOE25'!G216+'DOE25'!G234+'DOE25'!G277+'DOE25'!G296+'DOE25'!G315</f>
        <v>2776712.0500000003</v>
      </c>
    </row>
    <row r="19" spans="1:3" x14ac:dyDescent="0.2">
      <c r="A19" t="s">
        <v>779</v>
      </c>
      <c r="B19" s="240">
        <v>3765058.9</v>
      </c>
      <c r="C19" s="240">
        <v>1735625.81</v>
      </c>
    </row>
    <row r="20" spans="1:3" x14ac:dyDescent="0.2">
      <c r="A20" t="s">
        <v>780</v>
      </c>
      <c r="B20" s="240">
        <v>2051393.07</v>
      </c>
      <c r="C20" s="240">
        <v>970652.18</v>
      </c>
    </row>
    <row r="21" spans="1:3" x14ac:dyDescent="0.2">
      <c r="A21" t="s">
        <v>781</v>
      </c>
      <c r="B21" s="240">
        <v>137339.66</v>
      </c>
      <c r="C21" s="240">
        <v>70434.06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5953791.6299999999</v>
      </c>
      <c r="C22" s="231">
        <f>SUM(C19:C21)</f>
        <v>2776712.0500000003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655637.91999999993</v>
      </c>
      <c r="C36" s="235">
        <f>'DOE25'!G200+'DOE25'!G218+'DOE25'!G236+'DOE25'!G279+'DOE25'!G298+'DOE25'!G317</f>
        <v>336326.82</v>
      </c>
    </row>
    <row r="37" spans="1:3" x14ac:dyDescent="0.2">
      <c r="A37" t="s">
        <v>779</v>
      </c>
      <c r="B37" s="240">
        <v>555327.81999999995</v>
      </c>
      <c r="C37" s="240">
        <v>284870.09999999998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100310.1</v>
      </c>
      <c r="C39" s="240">
        <v>51456.72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655637.91999999993</v>
      </c>
      <c r="C40" s="231">
        <f>SUM(C37:C39)</f>
        <v>336326.81999999995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9" sqref="D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BEDFORD SCHOOL DISTRICT- SAU 25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36820561.059999995</v>
      </c>
      <c r="D5" s="20">
        <f>SUM('DOE25'!L197:L200)+SUM('DOE25'!L215:L218)+SUM('DOE25'!L233:L236)-F5-G5</f>
        <v>36715614.429999992</v>
      </c>
      <c r="E5" s="243"/>
      <c r="F5" s="255">
        <f>SUM('DOE25'!J197:J200)+SUM('DOE25'!J215:J218)+SUM('DOE25'!J233:J236)</f>
        <v>25102.25</v>
      </c>
      <c r="G5" s="53">
        <f>SUM('DOE25'!K197:K200)+SUM('DOE25'!K215:K218)+SUM('DOE25'!K233:K236)</f>
        <v>79844.38</v>
      </c>
      <c r="H5" s="259"/>
    </row>
    <row r="6" spans="1:9" x14ac:dyDescent="0.2">
      <c r="A6" s="32">
        <v>2100</v>
      </c>
      <c r="B6" t="s">
        <v>801</v>
      </c>
      <c r="C6" s="245">
        <f t="shared" si="0"/>
        <v>3891052.19</v>
      </c>
      <c r="D6" s="20">
        <f>'DOE25'!L202+'DOE25'!L220+'DOE25'!L238-F6-G6</f>
        <v>3891052.19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1734058.46</v>
      </c>
      <c r="D7" s="20">
        <f>'DOE25'!L203+'DOE25'!L221+'DOE25'!L239-F7-G7</f>
        <v>1295982.47</v>
      </c>
      <c r="E7" s="243"/>
      <c r="F7" s="255">
        <f>'DOE25'!J203+'DOE25'!J221+'DOE25'!J239</f>
        <v>397402.45999999996</v>
      </c>
      <c r="G7" s="53">
        <f>'DOE25'!K203+'DOE25'!K221+'DOE25'!K239</f>
        <v>40673.53</v>
      </c>
      <c r="H7" s="259"/>
    </row>
    <row r="8" spans="1:9" x14ac:dyDescent="0.2">
      <c r="A8" s="32">
        <v>2300</v>
      </c>
      <c r="B8" t="s">
        <v>802</v>
      </c>
      <c r="C8" s="245">
        <f t="shared" si="0"/>
        <v>783440.60999999987</v>
      </c>
      <c r="D8" s="243"/>
      <c r="E8" s="20">
        <f>'DOE25'!L204+'DOE25'!L222+'DOE25'!L240-F8-G8-D9-D11</f>
        <v>743241.56999999983</v>
      </c>
      <c r="F8" s="255">
        <f>'DOE25'!J204+'DOE25'!J222+'DOE25'!J240</f>
        <v>19578.52</v>
      </c>
      <c r="G8" s="53">
        <f>'DOE25'!K204+'DOE25'!K222+'DOE25'!K240</f>
        <v>20620.52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7471.35</v>
      </c>
      <c r="D9" s="244">
        <v>7471.35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15300</v>
      </c>
      <c r="D10" s="243"/>
      <c r="E10" s="244">
        <v>15300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542666.28</v>
      </c>
      <c r="D11" s="244">
        <v>542666.28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3928357.8200000003</v>
      </c>
      <c r="D12" s="20">
        <f>'DOE25'!L205+'DOE25'!L223+'DOE25'!L241-F12-G12</f>
        <v>3874555.16</v>
      </c>
      <c r="E12" s="243"/>
      <c r="F12" s="255">
        <f>'DOE25'!J205+'DOE25'!J223+'DOE25'!J241</f>
        <v>922</v>
      </c>
      <c r="G12" s="53">
        <f>'DOE25'!K205+'DOE25'!K223+'DOE25'!K241</f>
        <v>52880.659999999996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579081.80000000005</v>
      </c>
      <c r="D13" s="243"/>
      <c r="E13" s="20">
        <f>'DOE25'!L206+'DOE25'!L224+'DOE25'!L242-F13-G13</f>
        <v>579081.80000000005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4973559.790000001</v>
      </c>
      <c r="D14" s="20">
        <f>'DOE25'!L207+'DOE25'!L225+'DOE25'!L243-F14-G14</f>
        <v>4954126.03</v>
      </c>
      <c r="E14" s="243"/>
      <c r="F14" s="255">
        <f>'DOE25'!J207+'DOE25'!J225+'DOE25'!J243</f>
        <v>18680.36</v>
      </c>
      <c r="G14" s="53">
        <f>'DOE25'!K207+'DOE25'!K225+'DOE25'!K243</f>
        <v>753.4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2647999.1100000003</v>
      </c>
      <c r="D15" s="20">
        <f>'DOE25'!L208+'DOE25'!L226+'DOE25'!L244-F15-G15</f>
        <v>2647999.1100000003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36980.78</v>
      </c>
      <c r="D16" s="243"/>
      <c r="E16" s="20">
        <f>'DOE25'!L209+'DOE25'!L227+'DOE25'!L245-F16-G16</f>
        <v>36980.78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23812.91</v>
      </c>
      <c r="D17" s="20">
        <f>'DOE25'!L251-F17-G17</f>
        <v>23812.91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4183172.5</v>
      </c>
      <c r="D25" s="243"/>
      <c r="E25" s="243"/>
      <c r="F25" s="258"/>
      <c r="G25" s="256"/>
      <c r="H25" s="257">
        <f>'DOE25'!L260+'DOE25'!L261+'DOE25'!L341+'DOE25'!L342</f>
        <v>4183172.5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759047.49999999977</v>
      </c>
      <c r="D29" s="20">
        <f>'DOE25'!L358+'DOE25'!L359+'DOE25'!L360-'DOE25'!I367-F29-G29</f>
        <v>741550.31999999972</v>
      </c>
      <c r="E29" s="243"/>
      <c r="F29" s="255">
        <f>'DOE25'!J358+'DOE25'!J359+'DOE25'!J360</f>
        <v>16002.18</v>
      </c>
      <c r="G29" s="53">
        <f>'DOE25'!K358+'DOE25'!K359+'DOE25'!K360</f>
        <v>1495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1157677.03</v>
      </c>
      <c r="D31" s="20">
        <f>'DOE25'!L290+'DOE25'!L309+'DOE25'!L328+'DOE25'!L333+'DOE25'!L334+'DOE25'!L335-F31-G31</f>
        <v>1106231.21</v>
      </c>
      <c r="E31" s="243"/>
      <c r="F31" s="255">
        <f>'DOE25'!J290+'DOE25'!J309+'DOE25'!J328+'DOE25'!J333+'DOE25'!J334+'DOE25'!J335</f>
        <v>51445.82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55801061.459999993</v>
      </c>
      <c r="E33" s="246">
        <f>SUM(E5:E31)</f>
        <v>1374604.15</v>
      </c>
      <c r="F33" s="246">
        <f>SUM(F5:F31)</f>
        <v>529133.59</v>
      </c>
      <c r="G33" s="246">
        <f>SUM(G5:G31)</f>
        <v>196267.49</v>
      </c>
      <c r="H33" s="246">
        <f>SUM(H5:H31)</f>
        <v>4183172.5</v>
      </c>
    </row>
    <row r="35" spans="2:8" ht="12" thickBot="1" x14ac:dyDescent="0.25">
      <c r="B35" s="253" t="s">
        <v>847</v>
      </c>
      <c r="D35" s="254">
        <f>E33</f>
        <v>1374604.15</v>
      </c>
      <c r="E35" s="249"/>
    </row>
    <row r="36" spans="2:8" ht="12" thickTop="1" x14ac:dyDescent="0.2">
      <c r="B36" t="s">
        <v>815</v>
      </c>
      <c r="D36" s="20">
        <f>D33</f>
        <v>55801061.459999993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1" activePane="bottomLeft" state="frozen"/>
      <selection activeCell="F46" sqref="F46"/>
      <selection pane="bottomLeft" activeCell="A152" sqref="A15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SCHOOL DISTRICT- SAU 25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5480009.5499999998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345370.2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61563.13</v>
      </c>
      <c r="D12" s="95">
        <f>'DOE25'!G13</f>
        <v>11752.1</v>
      </c>
      <c r="E12" s="95">
        <f>'DOE25'!H13</f>
        <v>256193.02</v>
      </c>
      <c r="F12" s="95">
        <f>'DOE25'!I13</f>
        <v>0</v>
      </c>
      <c r="G12" s="95">
        <f>'DOE25'!J13</f>
        <v>483580.24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116248.81</v>
      </c>
      <c r="D13" s="95">
        <f>'DOE25'!G14</f>
        <v>700.24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3822.52</v>
      </c>
      <c r="D16" s="95">
        <f>'DOE25'!G17</f>
        <v>8744.2000000000007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5661644.0099999988</v>
      </c>
      <c r="D18" s="41">
        <f>SUM(D8:D17)</f>
        <v>367063.74</v>
      </c>
      <c r="E18" s="41">
        <f>SUM(E8:E17)</f>
        <v>256193.02</v>
      </c>
      <c r="F18" s="41">
        <f>SUM(F8:F17)</f>
        <v>0</v>
      </c>
      <c r="G18" s="41">
        <f>SUM(G8:G17)</f>
        <v>483580.24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161890.37</v>
      </c>
      <c r="D21" s="95">
        <f>'DOE25'!G22</f>
        <v>0</v>
      </c>
      <c r="E21" s="95">
        <f>'DOE25'!H22</f>
        <v>183479.83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200010.97</v>
      </c>
      <c r="D23" s="95">
        <f>'DOE25'!G24</f>
        <v>1774.63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2071340.36</v>
      </c>
      <c r="D27" s="95">
        <f>'DOE25'!G28</f>
        <v>0</v>
      </c>
      <c r="E27" s="95">
        <f>'DOE25'!H28</f>
        <v>46239.5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-3846.42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111405</v>
      </c>
      <c r="D29" s="95">
        <f>'DOE25'!G30</f>
        <v>72496</v>
      </c>
      <c r="E29" s="95">
        <f>'DOE25'!H30</f>
        <v>26473.69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2540800.2800000003</v>
      </c>
      <c r="D31" s="41">
        <f>SUM(D21:D30)</f>
        <v>74270.63</v>
      </c>
      <c r="E31" s="41">
        <f>SUM(E21:E30)</f>
        <v>256193.02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3822.52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478518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292793.11</v>
      </c>
      <c r="E47" s="95">
        <f>'DOE25'!H48</f>
        <v>0</v>
      </c>
      <c r="F47" s="95">
        <f>'DOE25'!I48</f>
        <v>0</v>
      </c>
      <c r="G47" s="95">
        <f>'DOE25'!J48</f>
        <v>483580.24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228664.71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2409838.5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3120843.73</v>
      </c>
      <c r="D50" s="41">
        <f>SUM(D34:D49)</f>
        <v>292793.11</v>
      </c>
      <c r="E50" s="41">
        <f>SUM(E34:E49)</f>
        <v>0</v>
      </c>
      <c r="F50" s="41">
        <f>SUM(F34:F49)</f>
        <v>0</v>
      </c>
      <c r="G50" s="41">
        <f>SUM(G34:G49)</f>
        <v>483580.24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5661644.0099999998</v>
      </c>
      <c r="D51" s="41">
        <f>D50+D31</f>
        <v>367063.74</v>
      </c>
      <c r="E51" s="41">
        <f>E50+E31</f>
        <v>256193.02</v>
      </c>
      <c r="F51" s="41">
        <f>F50+F31</f>
        <v>0</v>
      </c>
      <c r="G51" s="41">
        <f>G50+G31</f>
        <v>483580.24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44648784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719177.79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11020.9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8418.82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2566.2399999999998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1464376.29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242144.33000000002</v>
      </c>
      <c r="D61" s="95">
        <f>SUM('DOE25'!G98:G110)</f>
        <v>0</v>
      </c>
      <c r="E61" s="95">
        <f>SUM('DOE25'!H98:H110)</f>
        <v>53252.959999999999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980761.84000000008</v>
      </c>
      <c r="D62" s="130">
        <f>SUM(D57:D61)</f>
        <v>1464376.29</v>
      </c>
      <c r="E62" s="130">
        <f>SUM(E57:E61)</f>
        <v>53252.959999999999</v>
      </c>
      <c r="F62" s="130">
        <f>SUM(F57:F61)</f>
        <v>0</v>
      </c>
      <c r="G62" s="130">
        <f>SUM(G57:G61)</f>
        <v>2566.2399999999998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45629545.840000004</v>
      </c>
      <c r="D63" s="22">
        <f>D56+D62</f>
        <v>1464376.29</v>
      </c>
      <c r="E63" s="22">
        <f>E56+E62</f>
        <v>53252.959999999999</v>
      </c>
      <c r="F63" s="22">
        <f>F56+F62</f>
        <v>0</v>
      </c>
      <c r="G63" s="22">
        <f>G56+G62</f>
        <v>2566.2399999999998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4360792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8145289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14957.5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12521038.5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915006.69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481898.69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7098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21188.97</v>
      </c>
      <c r="E77" s="95">
        <f>SUM('DOE25'!H131:H135)</f>
        <v>5000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1404003.38</v>
      </c>
      <c r="D78" s="130">
        <f>SUM(D72:D77)</f>
        <v>21188.97</v>
      </c>
      <c r="E78" s="130">
        <f>SUM(E72:E77)</f>
        <v>5000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13925041.879999999</v>
      </c>
      <c r="D81" s="130">
        <f>SUM(D79:D80)+D78+D70</f>
        <v>21188.97</v>
      </c>
      <c r="E81" s="130">
        <f>SUM(E79:E80)+E78+E70</f>
        <v>5000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238421.4</v>
      </c>
      <c r="D88" s="95">
        <f>SUM('DOE25'!G153:G161)</f>
        <v>229049.57</v>
      </c>
      <c r="E88" s="95">
        <f>SUM('DOE25'!H153:H161)</f>
        <v>1099424.0699999998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238421.4</v>
      </c>
      <c r="D91" s="131">
        <f>SUM(D85:D90)</f>
        <v>229049.57</v>
      </c>
      <c r="E91" s="131">
        <f>SUM(E85:E90)</f>
        <v>1099424.0699999998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1493.36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1537.12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257767.49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259304.61</v>
      </c>
      <c r="D103" s="86">
        <f>SUM(D93:D102)</f>
        <v>1493.36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60052313.729999997</v>
      </c>
      <c r="D104" s="86">
        <f>D63+D81+D91+D103</f>
        <v>1716108.1900000002</v>
      </c>
      <c r="E104" s="86">
        <f>E63+E81+E91+E103</f>
        <v>1157677.0299999998</v>
      </c>
      <c r="F104" s="86">
        <f>F63+F81+F91+F103</f>
        <v>0</v>
      </c>
      <c r="G104" s="86">
        <f>G63+G81+G103</f>
        <v>2566.2399999999998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26271826.509999994</v>
      </c>
      <c r="D109" s="24" t="s">
        <v>289</v>
      </c>
      <c r="E109" s="95">
        <f>('DOE25'!L276)+('DOE25'!L295)+('DOE25'!L314)</f>
        <v>216729.46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9322241.5800000001</v>
      </c>
      <c r="D110" s="24" t="s">
        <v>289</v>
      </c>
      <c r="E110" s="95">
        <f>('DOE25'!L277)+('DOE25'!L296)+('DOE25'!L315)</f>
        <v>702449.26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26601.69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1199891.28</v>
      </c>
      <c r="D112" s="24" t="s">
        <v>289</v>
      </c>
      <c r="E112" s="95">
        <f>+('DOE25'!L279)+('DOE25'!L298)+('DOE25'!L317)</f>
        <v>52681.57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23812.91</v>
      </c>
      <c r="D114" s="24" t="s">
        <v>289</v>
      </c>
      <c r="E114" s="95">
        <f>+ SUM('DOE25'!L333:L335)</f>
        <v>5000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36844373.969999991</v>
      </c>
      <c r="D115" s="86">
        <f>SUM(D109:D114)</f>
        <v>0</v>
      </c>
      <c r="E115" s="86">
        <f>SUM(E109:E114)</f>
        <v>976860.28999999992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3891052.19</v>
      </c>
      <c r="D118" s="24" t="s">
        <v>289</v>
      </c>
      <c r="E118" s="95">
        <f>+('DOE25'!L281)+('DOE25'!L300)+('DOE25'!L319)</f>
        <v>126126.40999999999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1734058.46</v>
      </c>
      <c r="D119" s="24" t="s">
        <v>289</v>
      </c>
      <c r="E119" s="95">
        <f>+('DOE25'!L282)+('DOE25'!L301)+('DOE25'!L320)</f>
        <v>52448.38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1333578.24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3928357.8200000003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579081.80000000005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4973559.790000001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2647999.1100000003</v>
      </c>
      <c r="D124" s="24" t="s">
        <v>289</v>
      </c>
      <c r="E124" s="95">
        <f>+('DOE25'!L287)+('DOE25'!L306)+('DOE25'!L325)</f>
        <v>1870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36980.78</v>
      </c>
      <c r="D125" s="24" t="s">
        <v>289</v>
      </c>
      <c r="E125" s="95">
        <f>+('DOE25'!L288)+('DOE25'!L307)+('DOE25'!L326)</f>
        <v>371.95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1683500.7399999998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19124668.190000005</v>
      </c>
      <c r="D128" s="86">
        <f>SUM(D118:D127)</f>
        <v>1683500.7399999998</v>
      </c>
      <c r="E128" s="86">
        <f>SUM(E118:E127)</f>
        <v>180816.74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1418172.5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1537.12</v>
      </c>
      <c r="E134" s="95">
        <f>'DOE25'!L344</f>
        <v>0</v>
      </c>
      <c r="F134" s="95">
        <f>'DOE25'!K381</f>
        <v>257767.49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1493.36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1727.24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839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-2566.2399999999998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4184665.86</v>
      </c>
      <c r="D144" s="141">
        <f>SUM(D130:D143)</f>
        <v>1537.12</v>
      </c>
      <c r="E144" s="141">
        <f>SUM(E130:E143)</f>
        <v>0</v>
      </c>
      <c r="F144" s="141">
        <f>SUM(F130:F143)</f>
        <v>257767.49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60153708.019999996</v>
      </c>
      <c r="D145" s="86">
        <f>(D115+D128+D144)</f>
        <v>1685037.8599999999</v>
      </c>
      <c r="E145" s="86">
        <f>(E115+E128+E144)</f>
        <v>1157677.0299999998</v>
      </c>
      <c r="F145" s="86">
        <f>(F115+F128+F144)</f>
        <v>257767.49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10</v>
      </c>
      <c r="E151" s="153">
        <f>'DOE25'!I490</f>
        <v>15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8/08</v>
      </c>
      <c r="C152" s="152" t="str">
        <f>'DOE25'!G491</f>
        <v>6/06</v>
      </c>
      <c r="D152" s="152" t="str">
        <f>'DOE25'!H491</f>
        <v>8/07</v>
      </c>
      <c r="E152" s="152" t="str">
        <f>'DOE25'!I491</f>
        <v>11/14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</v>
      </c>
      <c r="C153" s="152" t="str">
        <f>'DOE25'!G492</f>
        <v>7/26</v>
      </c>
      <c r="D153" s="152" t="str">
        <f>'DOE25'!H492</f>
        <v>8/17</v>
      </c>
      <c r="E153" s="152" t="str">
        <f>'DOE25'!I492</f>
        <v>7/29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3935000</v>
      </c>
      <c r="C154" s="137">
        <f>'DOE25'!G493</f>
        <v>800000</v>
      </c>
      <c r="D154" s="137">
        <f>'DOE25'!H493</f>
        <v>2681350</v>
      </c>
      <c r="E154" s="137">
        <f>'DOE25'!I493</f>
        <v>32715000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4.5199999999999996</v>
      </c>
      <c r="D155" s="137">
        <f>'DOE25'!H494</f>
        <v>4.28</v>
      </c>
      <c r="E155" s="137">
        <f>'DOE25'!I494</f>
        <v>2.63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1545000</v>
      </c>
      <c r="C156" s="137">
        <f>'DOE25'!G495</f>
        <v>480000</v>
      </c>
      <c r="D156" s="137">
        <f>'DOE25'!H495</f>
        <v>795000</v>
      </c>
      <c r="E156" s="137">
        <f>'DOE25'!I495</f>
        <v>32160000</v>
      </c>
      <c r="F156" s="137">
        <f>'DOE25'!J495</f>
        <v>0</v>
      </c>
      <c r="G156" s="138">
        <f>SUM(B156:F156)</f>
        <v>34980000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40000</v>
      </c>
      <c r="D158" s="137">
        <f>'DOE25'!H497</f>
        <v>265000</v>
      </c>
      <c r="E158" s="137">
        <f>'DOE25'!I497</f>
        <v>2070000</v>
      </c>
      <c r="F158" s="137">
        <f>'DOE25'!J497</f>
        <v>0</v>
      </c>
      <c r="G158" s="138">
        <f t="shared" si="0"/>
        <v>2765000</v>
      </c>
    </row>
    <row r="159" spans="1:9" x14ac:dyDescent="0.2">
      <c r="A159" s="22" t="s">
        <v>35</v>
      </c>
      <c r="B159" s="137">
        <f>'DOE25'!F498</f>
        <v>1155000</v>
      </c>
      <c r="C159" s="137">
        <f>'DOE25'!G498</f>
        <v>440000</v>
      </c>
      <c r="D159" s="137">
        <f>'DOE25'!H498</f>
        <v>530000</v>
      </c>
      <c r="E159" s="137">
        <f>'DOE25'!I498</f>
        <v>30090000</v>
      </c>
      <c r="F159" s="137">
        <f>'DOE25'!J498</f>
        <v>0</v>
      </c>
      <c r="G159" s="138">
        <f t="shared" si="0"/>
        <v>32215000</v>
      </c>
    </row>
    <row r="160" spans="1:9" x14ac:dyDescent="0.2">
      <c r="A160" s="22" t="s">
        <v>36</v>
      </c>
      <c r="B160" s="137">
        <f>'DOE25'!F499</f>
        <v>73281</v>
      </c>
      <c r="C160" s="137">
        <f>'DOE25'!G499</f>
        <v>110305</v>
      </c>
      <c r="D160" s="137">
        <f>'DOE25'!H499</f>
        <v>26500</v>
      </c>
      <c r="E160" s="137">
        <f>'DOE25'!I499</f>
        <v>10623425</v>
      </c>
      <c r="F160" s="137">
        <f>'DOE25'!J499</f>
        <v>0</v>
      </c>
      <c r="G160" s="138">
        <f t="shared" si="0"/>
        <v>10833511</v>
      </c>
    </row>
    <row r="161" spans="1:7" x14ac:dyDescent="0.2">
      <c r="A161" s="22" t="s">
        <v>37</v>
      </c>
      <c r="B161" s="137">
        <f>'DOE25'!F500</f>
        <v>1228281</v>
      </c>
      <c r="C161" s="137">
        <f>'DOE25'!G500</f>
        <v>550305</v>
      </c>
      <c r="D161" s="137">
        <f>'DOE25'!H500</f>
        <v>556500</v>
      </c>
      <c r="E161" s="137">
        <f>'DOE25'!I500</f>
        <v>40713425</v>
      </c>
      <c r="F161" s="137">
        <f>'DOE25'!J500</f>
        <v>0</v>
      </c>
      <c r="G161" s="138">
        <f t="shared" si="0"/>
        <v>43048511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40000</v>
      </c>
      <c r="D162" s="137">
        <f>'DOE25'!H501</f>
        <v>265000</v>
      </c>
      <c r="E162" s="137">
        <f>'DOE25'!I501</f>
        <v>1970000</v>
      </c>
      <c r="F162" s="137">
        <f>'DOE25'!J501</f>
        <v>0</v>
      </c>
      <c r="G162" s="138">
        <f t="shared" si="0"/>
        <v>2665000</v>
      </c>
    </row>
    <row r="163" spans="1:7" x14ac:dyDescent="0.2">
      <c r="A163" s="22" t="s">
        <v>39</v>
      </c>
      <c r="B163" s="137">
        <f>'DOE25'!F502</f>
        <v>40938</v>
      </c>
      <c r="C163" s="137">
        <f>'DOE25'!G502</f>
        <v>18950</v>
      </c>
      <c r="D163" s="137">
        <f>'DOE25'!H502</f>
        <v>19875</v>
      </c>
      <c r="E163" s="137">
        <f>'DOE25'!I502</f>
        <v>1253150</v>
      </c>
      <c r="F163" s="137">
        <f>'DOE25'!J502</f>
        <v>0</v>
      </c>
      <c r="G163" s="138">
        <f t="shared" si="0"/>
        <v>1332913</v>
      </c>
    </row>
    <row r="164" spans="1:7" x14ac:dyDescent="0.2">
      <c r="A164" s="22" t="s">
        <v>246</v>
      </c>
      <c r="B164" s="137">
        <f>'DOE25'!F503</f>
        <v>430938</v>
      </c>
      <c r="C164" s="137">
        <f>'DOE25'!G503</f>
        <v>58950</v>
      </c>
      <c r="D164" s="137">
        <f>'DOE25'!H503</f>
        <v>284875</v>
      </c>
      <c r="E164" s="137">
        <f>'DOE25'!I503</f>
        <v>3223150</v>
      </c>
      <c r="F164" s="137">
        <f>'DOE25'!J503</f>
        <v>0</v>
      </c>
      <c r="G164" s="138">
        <f t="shared" si="0"/>
        <v>3997913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H5" sqref="H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BEDFORD SCHOOL DISTRICT- SAU 25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12645</v>
      </c>
    </row>
    <row r="5" spans="1:4" x14ac:dyDescent="0.2">
      <c r="B5" t="s">
        <v>704</v>
      </c>
      <c r="C5" s="179">
        <f>IF('DOE25'!G665+'DOE25'!G670=0,0,ROUND('DOE25'!G672,0))</f>
        <v>12001</v>
      </c>
    </row>
    <row r="6" spans="1:4" x14ac:dyDescent="0.2">
      <c r="B6" t="s">
        <v>62</v>
      </c>
      <c r="C6" s="179">
        <f>IF('DOE25'!H665+'DOE25'!H670=0,0,ROUND('DOE25'!H672,0))</f>
        <v>11728</v>
      </c>
    </row>
    <row r="7" spans="1:4" x14ac:dyDescent="0.2">
      <c r="B7" t="s">
        <v>705</v>
      </c>
      <c r="C7" s="179">
        <f>IF('DOE25'!I665+'DOE25'!I670=0,0,ROUND('DOE25'!I672,0))</f>
        <v>12226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26488556</v>
      </c>
      <c r="D10" s="182">
        <f>ROUND((C10/$C$28)*100,1)</f>
        <v>45.1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10024691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26602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1252573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4017179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1786507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1370931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3928358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579082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4973560</v>
      </c>
      <c r="D20" s="182">
        <f t="shared" si="0"/>
        <v>8.5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2649869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28813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1418173</v>
      </c>
      <c r="D25" s="182">
        <f t="shared" si="0"/>
        <v>2.4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219124.70999999996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58764018.710000001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58764018.710000001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2765000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44648784</v>
      </c>
      <c r="D35" s="182">
        <f t="shared" ref="D35:D40" si="1">ROUND((C35/$C$41)*100,1)</f>
        <v>73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1036581.0399999991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12506081</v>
      </c>
      <c r="D37" s="182">
        <f t="shared" si="1"/>
        <v>20.399999999999999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1445150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1566895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61203491.039999999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BEDFORD SCHOOL DISTRICT- SAU 25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2016-09-30T15:19:26Z</cp:lastPrinted>
  <dcterms:created xsi:type="dcterms:W3CDTF">1997-12-04T19:04:30Z</dcterms:created>
  <dcterms:modified xsi:type="dcterms:W3CDTF">2016-11-29T14:35:14Z</dcterms:modified>
</cp:coreProperties>
</file>