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J604" i="1" l="1"/>
  <c r="K333" i="1" l="1"/>
  <c r="H333" i="1"/>
  <c r="C10" i="12" l="1"/>
  <c r="C20" i="12"/>
  <c r="B19" i="12"/>
  <c r="H315" i="1"/>
  <c r="H295" i="1"/>
  <c r="H296" i="1"/>
  <c r="H276" i="1"/>
  <c r="H277" i="1"/>
  <c r="G315" i="1"/>
  <c r="G314" i="1"/>
  <c r="F315" i="1"/>
  <c r="F314" i="1"/>
  <c r="G295" i="1"/>
  <c r="F296" i="1"/>
  <c r="F295" i="1"/>
  <c r="F277" i="1"/>
  <c r="G277" i="1"/>
  <c r="G276" i="1"/>
  <c r="F276" i="1"/>
  <c r="H306" i="1" l="1"/>
  <c r="H287" i="1"/>
  <c r="I298" i="1"/>
  <c r="H298" i="1"/>
  <c r="G298" i="1"/>
  <c r="F298" i="1"/>
  <c r="I279" i="1"/>
  <c r="H279" i="1"/>
  <c r="G279" i="1"/>
  <c r="F279" i="1"/>
  <c r="J591" i="1" l="1"/>
  <c r="I591" i="1"/>
  <c r="H591" i="1"/>
  <c r="H597" i="1"/>
  <c r="J595" i="1" l="1"/>
  <c r="I595" i="1"/>
  <c r="H595" i="1"/>
  <c r="J594" i="1"/>
  <c r="I594" i="1"/>
  <c r="J592" i="1"/>
  <c r="I592" i="1"/>
  <c r="H592" i="1"/>
  <c r="H559" i="1" l="1"/>
  <c r="I557" i="1"/>
  <c r="H557" i="1"/>
  <c r="G557" i="1"/>
  <c r="F557" i="1"/>
  <c r="G526" i="1" l="1"/>
  <c r="F526" i="1"/>
  <c r="G528" i="1" l="1"/>
  <c r="G527" i="1"/>
  <c r="F528" i="1"/>
  <c r="F527" i="1"/>
  <c r="H523" i="1"/>
  <c r="H522" i="1"/>
  <c r="H521" i="1"/>
  <c r="G523" i="1"/>
  <c r="G522" i="1"/>
  <c r="G521" i="1"/>
  <c r="F523" i="1"/>
  <c r="F522" i="1"/>
  <c r="F521" i="1"/>
  <c r="H543" i="1"/>
  <c r="G543" i="1"/>
  <c r="F543" i="1"/>
  <c r="I523" i="1"/>
  <c r="G542" i="1"/>
  <c r="F542" i="1"/>
  <c r="H527" i="1"/>
  <c r="I522" i="1"/>
  <c r="H526" i="1"/>
  <c r="I521" i="1"/>
  <c r="G541" i="1"/>
  <c r="F541" i="1"/>
  <c r="J521" i="1" l="1"/>
  <c r="K533" i="1"/>
  <c r="K532" i="1"/>
  <c r="K531" i="1"/>
  <c r="J533" i="1"/>
  <c r="J532" i="1"/>
  <c r="J531" i="1"/>
  <c r="I533" i="1"/>
  <c r="I532" i="1"/>
  <c r="I531" i="1"/>
  <c r="H533" i="1"/>
  <c r="H532" i="1"/>
  <c r="H531" i="1"/>
  <c r="G533" i="1"/>
  <c r="G532" i="1"/>
  <c r="G531" i="1"/>
  <c r="F533" i="1"/>
  <c r="F532" i="1"/>
  <c r="F531" i="1"/>
  <c r="K526" i="1"/>
  <c r="H528" i="1"/>
  <c r="I528" i="1"/>
  <c r="I527" i="1"/>
  <c r="I526" i="1"/>
  <c r="F562" i="1" l="1"/>
  <c r="H582" i="1"/>
  <c r="H578" i="1"/>
  <c r="G582" i="1"/>
  <c r="G578" i="1"/>
  <c r="F582" i="1"/>
  <c r="F578" i="1"/>
  <c r="H581" i="1"/>
  <c r="H579" i="1"/>
  <c r="H575" i="1"/>
  <c r="F579" i="1"/>
  <c r="F575" i="1"/>
  <c r="H244" i="1" l="1"/>
  <c r="H226" i="1"/>
  <c r="H208" i="1"/>
  <c r="H243" i="1"/>
  <c r="H225" i="1"/>
  <c r="H207" i="1"/>
  <c r="I243" i="1"/>
  <c r="I225" i="1"/>
  <c r="I207" i="1"/>
  <c r="H242" i="1"/>
  <c r="H224" i="1"/>
  <c r="H206" i="1"/>
  <c r="H240" i="1"/>
  <c r="H222" i="1"/>
  <c r="H204" i="1"/>
  <c r="H236" i="1"/>
  <c r="H218" i="1"/>
  <c r="H200" i="1"/>
  <c r="G245" i="1"/>
  <c r="G244" i="1"/>
  <c r="G243" i="1"/>
  <c r="G242" i="1"/>
  <c r="G241" i="1"/>
  <c r="G240" i="1"/>
  <c r="G239" i="1"/>
  <c r="G238" i="1"/>
  <c r="G236" i="1"/>
  <c r="G235" i="1"/>
  <c r="G234" i="1"/>
  <c r="G233" i="1"/>
  <c r="G227" i="1"/>
  <c r="G226" i="1"/>
  <c r="G225" i="1"/>
  <c r="G224" i="1"/>
  <c r="G223" i="1"/>
  <c r="G222" i="1"/>
  <c r="G221" i="1"/>
  <c r="G220" i="1"/>
  <c r="G218" i="1"/>
  <c r="G216" i="1"/>
  <c r="G215" i="1"/>
  <c r="G209" i="1"/>
  <c r="G208" i="1"/>
  <c r="G207" i="1"/>
  <c r="G206" i="1"/>
  <c r="G205" i="1"/>
  <c r="G204" i="1"/>
  <c r="G203" i="1"/>
  <c r="G202" i="1"/>
  <c r="G200" i="1"/>
  <c r="G198" i="1"/>
  <c r="G197" i="1"/>
  <c r="F240" i="1" l="1"/>
  <c r="F238" i="1"/>
  <c r="F233" i="1"/>
  <c r="F222" i="1"/>
  <c r="F220" i="1"/>
  <c r="F215" i="1"/>
  <c r="F204" i="1"/>
  <c r="F202" i="1"/>
  <c r="F197" i="1"/>
  <c r="F205" i="1"/>
  <c r="F198" i="1"/>
  <c r="F239" i="1"/>
  <c r="F235" i="1"/>
  <c r="G358" i="1" l="1"/>
  <c r="F358" i="1"/>
  <c r="I358" i="1"/>
  <c r="H360" i="1"/>
  <c r="H359" i="1"/>
  <c r="H358" i="1"/>
  <c r="G97" i="1" l="1"/>
  <c r="H159" i="1"/>
  <c r="H156" i="1"/>
  <c r="H155" i="1"/>
  <c r="H154" i="1"/>
  <c r="H102" i="1"/>
  <c r="F163" i="1"/>
  <c r="F160" i="1"/>
  <c r="F127" i="1"/>
  <c r="F126" i="1"/>
  <c r="F123" i="1"/>
  <c r="F120" i="1"/>
  <c r="F117" i="1"/>
  <c r="F110" i="1"/>
  <c r="F93" i="1"/>
  <c r="F70" i="1"/>
  <c r="F68" i="1"/>
  <c r="K277" i="1" l="1"/>
  <c r="H320" i="1" l="1"/>
  <c r="J317" i="1"/>
  <c r="K316" i="1"/>
  <c r="J316" i="1"/>
  <c r="I316" i="1"/>
  <c r="H316" i="1"/>
  <c r="J233" i="1"/>
  <c r="J314" i="1"/>
  <c r="I314" i="1"/>
  <c r="H301" i="1"/>
  <c r="J215" i="1"/>
  <c r="G281" i="1"/>
  <c r="F281" i="1"/>
  <c r="I277" i="1"/>
  <c r="J197" i="1"/>
  <c r="J276" i="1"/>
  <c r="I276" i="1"/>
  <c r="H324" i="1"/>
  <c r="H305" i="1"/>
  <c r="H286" i="1"/>
  <c r="J321" i="1"/>
  <c r="I321" i="1"/>
  <c r="H321" i="1"/>
  <c r="G321" i="1"/>
  <c r="F321" i="1"/>
  <c r="J302" i="1"/>
  <c r="I302" i="1"/>
  <c r="H302" i="1"/>
  <c r="G302" i="1"/>
  <c r="F302" i="1"/>
  <c r="J283" i="1"/>
  <c r="I283" i="1"/>
  <c r="H283" i="1"/>
  <c r="G283" i="1"/>
  <c r="F283" i="1"/>
  <c r="H282" i="1"/>
  <c r="H319" i="1"/>
  <c r="G319" i="1"/>
  <c r="F319" i="1"/>
  <c r="H300" i="1"/>
  <c r="G300" i="1"/>
  <c r="F300" i="1"/>
  <c r="H281" i="1"/>
  <c r="I319" i="1"/>
  <c r="I300" i="1"/>
  <c r="I281" i="1"/>
  <c r="I295" i="1"/>
  <c r="F244" i="1"/>
  <c r="F243" i="1"/>
  <c r="K241" i="1"/>
  <c r="J241" i="1"/>
  <c r="I241" i="1"/>
  <c r="H241" i="1"/>
  <c r="F241" i="1"/>
  <c r="K240" i="1"/>
  <c r="I239" i="1"/>
  <c r="H239" i="1"/>
  <c r="I238" i="1"/>
  <c r="H238" i="1"/>
  <c r="K238" i="1"/>
  <c r="K236" i="1"/>
  <c r="J236" i="1"/>
  <c r="I236" i="1"/>
  <c r="F236" i="1"/>
  <c r="J235" i="1"/>
  <c r="I235" i="1"/>
  <c r="H235" i="1"/>
  <c r="H234" i="1"/>
  <c r="I234" i="1"/>
  <c r="F234" i="1"/>
  <c r="K233" i="1"/>
  <c r="I233" i="1"/>
  <c r="H233" i="1"/>
  <c r="F226" i="1" l="1"/>
  <c r="F225" i="1"/>
  <c r="K223" i="1"/>
  <c r="J223" i="1"/>
  <c r="I223" i="1"/>
  <c r="H223" i="1"/>
  <c r="F223" i="1"/>
  <c r="K221" i="1"/>
  <c r="I221" i="1"/>
  <c r="H221" i="1"/>
  <c r="F221" i="1"/>
  <c r="H220" i="1"/>
  <c r="J220" i="1"/>
  <c r="I220" i="1"/>
  <c r="K220" i="1"/>
  <c r="K218" i="1"/>
  <c r="J218" i="1"/>
  <c r="I218" i="1"/>
  <c r="F218" i="1"/>
  <c r="I216" i="1"/>
  <c r="H216" i="1"/>
  <c r="F216" i="1"/>
  <c r="K215" i="1"/>
  <c r="I215" i="1"/>
  <c r="H215" i="1"/>
  <c r="H202" i="1"/>
  <c r="I198" i="1"/>
  <c r="H198" i="1"/>
  <c r="F208" i="1"/>
  <c r="F207" i="1"/>
  <c r="K205" i="1"/>
  <c r="I205" i="1"/>
  <c r="H205" i="1"/>
  <c r="I203" i="1"/>
  <c r="F203" i="1"/>
  <c r="H203" i="1"/>
  <c r="K202" i="1"/>
  <c r="J202" i="1"/>
  <c r="I202" i="1"/>
  <c r="K200" i="1"/>
  <c r="I200" i="1"/>
  <c r="F200" i="1"/>
  <c r="J198" i="1"/>
  <c r="I197" i="1"/>
  <c r="H197" i="1"/>
  <c r="F245" i="1"/>
  <c r="F227" i="1"/>
  <c r="F209" i="1"/>
  <c r="K244" i="1"/>
  <c r="J244" i="1"/>
  <c r="I244" i="1"/>
  <c r="J226" i="1"/>
  <c r="I226" i="1"/>
  <c r="K208" i="1"/>
  <c r="J208" i="1"/>
  <c r="I208" i="1"/>
  <c r="J243" i="1"/>
  <c r="J225" i="1"/>
  <c r="J207" i="1"/>
  <c r="K242" i="1"/>
  <c r="F242" i="1"/>
  <c r="K224" i="1"/>
  <c r="F224" i="1"/>
  <c r="K206" i="1"/>
  <c r="F206" i="1"/>
  <c r="J240" i="1"/>
  <c r="I240" i="1"/>
  <c r="K222" i="1"/>
  <c r="J222" i="1"/>
  <c r="I222" i="1"/>
  <c r="K204" i="1"/>
  <c r="J204" i="1"/>
  <c r="I204" i="1"/>
  <c r="C45" i="2" l="1"/>
  <c r="G51" i="1"/>
  <c r="F51" i="1"/>
  <c r="C37" i="10" l="1"/>
  <c r="F40" i="2" l="1"/>
  <c r="D39" i="2"/>
  <c r="G655" i="1"/>
  <c r="J655" i="1" s="1"/>
  <c r="F48" i="2"/>
  <c r="E48" i="2"/>
  <c r="D48" i="2"/>
  <c r="C48" i="2"/>
  <c r="F47" i="2"/>
  <c r="E47" i="2"/>
  <c r="D47" i="2"/>
  <c r="D50" i="2" s="1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G651" i="1" s="1"/>
  <c r="F17" i="13"/>
  <c r="G17" i="13"/>
  <c r="D17" i="13" s="1"/>
  <c r="C17" i="13" s="1"/>
  <c r="L251" i="1"/>
  <c r="F18" i="13"/>
  <c r="G18" i="13"/>
  <c r="L252" i="1"/>
  <c r="D18" i="13" s="1"/>
  <c r="C18" i="13" s="1"/>
  <c r="F19" i="13"/>
  <c r="G19" i="13"/>
  <c r="L253" i="1"/>
  <c r="F29" i="13"/>
  <c r="G29" i="13"/>
  <c r="L358" i="1"/>
  <c r="L359" i="1"/>
  <c r="L360" i="1"/>
  <c r="I367" i="1"/>
  <c r="I369" i="1" s="1"/>
  <c r="H634" i="1" s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E121" i="2" s="1"/>
  <c r="L285" i="1"/>
  <c r="E122" i="2" s="1"/>
  <c r="L286" i="1"/>
  <c r="L287" i="1"/>
  <c r="L288" i="1"/>
  <c r="E125" i="2" s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E111" i="2" s="1"/>
  <c r="L317" i="1"/>
  <c r="L319" i="1"/>
  <c r="L320" i="1"/>
  <c r="E119" i="2" s="1"/>
  <c r="L321" i="1"/>
  <c r="E120" i="2" s="1"/>
  <c r="L322" i="1"/>
  <c r="L323" i="1"/>
  <c r="L324" i="1"/>
  <c r="E123" i="2" s="1"/>
  <c r="L325" i="1"/>
  <c r="E124" i="2" s="1"/>
  <c r="L326" i="1"/>
  <c r="L333" i="1"/>
  <c r="E114" i="2" s="1"/>
  <c r="L334" i="1"/>
  <c r="L335" i="1"/>
  <c r="L260" i="1"/>
  <c r="C131" i="2" s="1"/>
  <c r="L261" i="1"/>
  <c r="C25" i="10" s="1"/>
  <c r="L341" i="1"/>
  <c r="L342" i="1"/>
  <c r="L255" i="1"/>
  <c r="C130" i="2" s="1"/>
  <c r="L336" i="1"/>
  <c r="E130" i="2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A31" i="12" s="1"/>
  <c r="C31" i="12"/>
  <c r="B9" i="12"/>
  <c r="B13" i="12"/>
  <c r="C9" i="12"/>
  <c r="C13" i="12"/>
  <c r="B18" i="12"/>
  <c r="B22" i="12"/>
  <c r="C18" i="12"/>
  <c r="C22" i="12"/>
  <c r="B1" i="12"/>
  <c r="L387" i="1"/>
  <c r="L393" i="1" s="1"/>
  <c r="C138" i="2" s="1"/>
  <c r="L388" i="1"/>
  <c r="L389" i="1"/>
  <c r="L390" i="1"/>
  <c r="L391" i="1"/>
  <c r="L392" i="1"/>
  <c r="L395" i="1"/>
  <c r="L396" i="1"/>
  <c r="L397" i="1"/>
  <c r="L398" i="1"/>
  <c r="L401" i="1" s="1"/>
  <c r="C139" i="2" s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56" i="2" s="1"/>
  <c r="F79" i="1"/>
  <c r="C57" i="2" s="1"/>
  <c r="F94" i="1"/>
  <c r="C58" i="2" s="1"/>
  <c r="F111" i="1"/>
  <c r="G111" i="1"/>
  <c r="G112" i="1" s="1"/>
  <c r="H79" i="1"/>
  <c r="E57" i="2" s="1"/>
  <c r="E62" i="2" s="1"/>
  <c r="E63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C85" i="2" s="1"/>
  <c r="C91" i="2" s="1"/>
  <c r="F162" i="1"/>
  <c r="F169" i="1" s="1"/>
  <c r="G147" i="1"/>
  <c r="G162" i="1"/>
  <c r="H147" i="1"/>
  <c r="H162" i="1"/>
  <c r="H169" i="1" s="1"/>
  <c r="I147" i="1"/>
  <c r="I162" i="1"/>
  <c r="L250" i="1"/>
  <c r="L332" i="1"/>
  <c r="L254" i="1"/>
  <c r="L268" i="1"/>
  <c r="L269" i="1"/>
  <c r="C143" i="2" s="1"/>
  <c r="L349" i="1"/>
  <c r="C26" i="10" s="1"/>
  <c r="L350" i="1"/>
  <c r="I665" i="1"/>
  <c r="I670" i="1"/>
  <c r="I669" i="1"/>
  <c r="C42" i="10"/>
  <c r="C32" i="10"/>
  <c r="L374" i="1"/>
  <c r="F130" i="2" s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L270" i="1" s="1"/>
  <c r="C132" i="2"/>
  <c r="A1" i="2"/>
  <c r="A2" i="2"/>
  <c r="C8" i="2"/>
  <c r="C18" i="2" s="1"/>
  <c r="D8" i="2"/>
  <c r="D18" i="2" s="1"/>
  <c r="E8" i="2"/>
  <c r="F8" i="2"/>
  <c r="I439" i="1"/>
  <c r="J9" i="1" s="1"/>
  <c r="G8" i="2" s="1"/>
  <c r="C9" i="2"/>
  <c r="D9" i="2"/>
  <c r="E9" i="2"/>
  <c r="F9" i="2"/>
  <c r="F18" i="2" s="1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E31" i="2" s="1"/>
  <c r="F21" i="2"/>
  <c r="I448" i="1"/>
  <c r="J22" i="1" s="1"/>
  <c r="C22" i="2"/>
  <c r="D22" i="2"/>
  <c r="D31" i="2" s="1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C78" i="2" s="1"/>
  <c r="F72" i="2"/>
  <c r="F78" i="2" s="1"/>
  <c r="F81" i="2" s="1"/>
  <c r="C73" i="2"/>
  <c r="F73" i="2"/>
  <c r="C74" i="2"/>
  <c r="C75" i="2"/>
  <c r="C76" i="2"/>
  <c r="E76" i="2"/>
  <c r="E78" i="2" s="1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E103" i="2" s="1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3" i="2"/>
  <c r="E113" i="2"/>
  <c r="C114" i="2"/>
  <c r="D115" i="2"/>
  <c r="F115" i="2"/>
  <c r="G115" i="2"/>
  <c r="F128" i="2"/>
  <c r="G128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G157" i="2" s="1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G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19" i="1"/>
  <c r="G618" i="1" s="1"/>
  <c r="H19" i="1"/>
  <c r="G619" i="1" s="1"/>
  <c r="I19" i="1"/>
  <c r="G620" i="1" s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L256" i="1" s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H408" i="1" s="1"/>
  <c r="H644" i="1" s="1"/>
  <c r="J644" i="1" s="1"/>
  <c r="I407" i="1"/>
  <c r="F408" i="1"/>
  <c r="G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7" i="1" s="1"/>
  <c r="L422" i="1"/>
  <c r="L423" i="1"/>
  <c r="L424" i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446" i="1"/>
  <c r="H446" i="1"/>
  <c r="I446" i="1"/>
  <c r="G642" i="1" s="1"/>
  <c r="F452" i="1"/>
  <c r="G452" i="1"/>
  <c r="H452" i="1"/>
  <c r="I452" i="1"/>
  <c r="F460" i="1"/>
  <c r="G460" i="1"/>
  <c r="H460" i="1"/>
  <c r="I460" i="1"/>
  <c r="F461" i="1"/>
  <c r="G461" i="1"/>
  <c r="H461" i="1"/>
  <c r="I461" i="1"/>
  <c r="H642" i="1" s="1"/>
  <c r="F470" i="1"/>
  <c r="G470" i="1"/>
  <c r="H470" i="1"/>
  <c r="I470" i="1"/>
  <c r="I476" i="1" s="1"/>
  <c r="H625" i="1" s="1"/>
  <c r="J470" i="1"/>
  <c r="F474" i="1"/>
  <c r="F476" i="1" s="1"/>
  <c r="H622" i="1" s="1"/>
  <c r="J622" i="1" s="1"/>
  <c r="G474" i="1"/>
  <c r="H474" i="1"/>
  <c r="H476" i="1" s="1"/>
  <c r="H624" i="1" s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H571" i="1" s="1"/>
  <c r="I560" i="1"/>
  <c r="J560" i="1"/>
  <c r="K560" i="1"/>
  <c r="K571" i="1" s="1"/>
  <c r="L562" i="1"/>
  <c r="L565" i="1" s="1"/>
  <c r="L563" i="1"/>
  <c r="L564" i="1"/>
  <c r="F565" i="1"/>
  <c r="G565" i="1"/>
  <c r="H565" i="1"/>
  <c r="I565" i="1"/>
  <c r="J565" i="1"/>
  <c r="J571" i="1" s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17" i="1"/>
  <c r="G622" i="1"/>
  <c r="G623" i="1"/>
  <c r="G624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H639" i="1"/>
  <c r="J639" i="1" s="1"/>
  <c r="G640" i="1"/>
  <c r="H640" i="1"/>
  <c r="G641" i="1"/>
  <c r="J641" i="1" s="1"/>
  <c r="H641" i="1"/>
  <c r="G643" i="1"/>
  <c r="J643" i="1" s="1"/>
  <c r="H643" i="1"/>
  <c r="G644" i="1"/>
  <c r="G645" i="1"/>
  <c r="H645" i="1"/>
  <c r="J645" i="1" s="1"/>
  <c r="G652" i="1"/>
  <c r="H652" i="1"/>
  <c r="G653" i="1"/>
  <c r="H653" i="1"/>
  <c r="G654" i="1"/>
  <c r="H654" i="1"/>
  <c r="H655" i="1"/>
  <c r="F192" i="1"/>
  <c r="D62" i="2"/>
  <c r="D63" i="2" s="1"/>
  <c r="D91" i="2"/>
  <c r="G62" i="2"/>
  <c r="D19" i="13"/>
  <c r="C19" i="13" s="1"/>
  <c r="J617" i="1"/>
  <c r="H112" i="1"/>
  <c r="L419" i="1"/>
  <c r="I169" i="1"/>
  <c r="J476" i="1"/>
  <c r="H626" i="1" s="1"/>
  <c r="G476" i="1"/>
  <c r="H623" i="1" s="1"/>
  <c r="J140" i="1"/>
  <c r="G22" i="2"/>
  <c r="H140" i="1"/>
  <c r="F22" i="13"/>
  <c r="C22" i="13" s="1"/>
  <c r="J640" i="1"/>
  <c r="H192" i="1"/>
  <c r="L570" i="1"/>
  <c r="G36" i="2"/>
  <c r="G156" i="2" l="1"/>
  <c r="K500" i="1"/>
  <c r="G662" i="1"/>
  <c r="K598" i="1"/>
  <c r="G647" i="1" s="1"/>
  <c r="J651" i="1"/>
  <c r="J624" i="1"/>
  <c r="J623" i="1"/>
  <c r="L560" i="1"/>
  <c r="I571" i="1"/>
  <c r="J552" i="1"/>
  <c r="K550" i="1"/>
  <c r="I552" i="1"/>
  <c r="K545" i="1"/>
  <c r="J545" i="1"/>
  <c r="H552" i="1"/>
  <c r="L534" i="1"/>
  <c r="H545" i="1"/>
  <c r="I545" i="1"/>
  <c r="G545" i="1"/>
  <c r="G552" i="1"/>
  <c r="F571" i="1"/>
  <c r="K551" i="1"/>
  <c r="F552" i="1"/>
  <c r="K549" i="1"/>
  <c r="J634" i="1"/>
  <c r="G661" i="1"/>
  <c r="L362" i="1"/>
  <c r="G635" i="1" s="1"/>
  <c r="J635" i="1" s="1"/>
  <c r="H661" i="1"/>
  <c r="D127" i="2"/>
  <c r="D128" i="2" s="1"/>
  <c r="D145" i="2" s="1"/>
  <c r="D29" i="13"/>
  <c r="C29" i="13" s="1"/>
  <c r="C70" i="2"/>
  <c r="F112" i="1"/>
  <c r="K338" i="1"/>
  <c r="K352" i="1" s="1"/>
  <c r="E112" i="2"/>
  <c r="L309" i="1"/>
  <c r="E118" i="2"/>
  <c r="L328" i="1"/>
  <c r="C11" i="10"/>
  <c r="E110" i="2"/>
  <c r="H338" i="1"/>
  <c r="H352" i="1" s="1"/>
  <c r="G338" i="1"/>
  <c r="G352" i="1" s="1"/>
  <c r="F338" i="1"/>
  <c r="F352" i="1" s="1"/>
  <c r="C119" i="2"/>
  <c r="C12" i="10"/>
  <c r="G650" i="1"/>
  <c r="J650" i="1" s="1"/>
  <c r="C121" i="2"/>
  <c r="C16" i="10"/>
  <c r="C112" i="2"/>
  <c r="D12" i="13"/>
  <c r="C12" i="13" s="1"/>
  <c r="C18" i="10"/>
  <c r="D7" i="13"/>
  <c r="C7" i="13" s="1"/>
  <c r="A40" i="12"/>
  <c r="C125" i="2"/>
  <c r="E16" i="13"/>
  <c r="H662" i="1"/>
  <c r="C21" i="10"/>
  <c r="D14" i="13"/>
  <c r="C14" i="13" s="1"/>
  <c r="C123" i="2"/>
  <c r="C20" i="10"/>
  <c r="C122" i="2"/>
  <c r="K257" i="1"/>
  <c r="K271" i="1" s="1"/>
  <c r="E8" i="13"/>
  <c r="C8" i="13" s="1"/>
  <c r="C17" i="10"/>
  <c r="C118" i="2"/>
  <c r="H257" i="1"/>
  <c r="H271" i="1" s="1"/>
  <c r="G257" i="1"/>
  <c r="G271" i="1" s="1"/>
  <c r="C110" i="2"/>
  <c r="L211" i="1"/>
  <c r="L247" i="1"/>
  <c r="F257" i="1"/>
  <c r="F271" i="1" s="1"/>
  <c r="J257" i="1"/>
  <c r="J271" i="1" s="1"/>
  <c r="I257" i="1"/>
  <c r="I271" i="1" s="1"/>
  <c r="A13" i="12"/>
  <c r="L229" i="1"/>
  <c r="C109" i="2"/>
  <c r="C10" i="10"/>
  <c r="D5" i="13"/>
  <c r="C5" i="13" s="1"/>
  <c r="C16" i="13"/>
  <c r="J625" i="1"/>
  <c r="E128" i="2"/>
  <c r="C81" i="2"/>
  <c r="E13" i="13"/>
  <c r="C13" i="13" s="1"/>
  <c r="L290" i="1"/>
  <c r="L539" i="1"/>
  <c r="K503" i="1"/>
  <c r="E109" i="2"/>
  <c r="C62" i="2"/>
  <c r="F661" i="1"/>
  <c r="C19" i="10"/>
  <c r="C15" i="10"/>
  <c r="C35" i="10"/>
  <c r="C29" i="10"/>
  <c r="D6" i="13"/>
  <c r="C6" i="13" s="1"/>
  <c r="D15" i="13"/>
  <c r="C15" i="13" s="1"/>
  <c r="G649" i="1"/>
  <c r="J649" i="1" s="1"/>
  <c r="L544" i="1"/>
  <c r="L524" i="1"/>
  <c r="J338" i="1"/>
  <c r="J352" i="1" s="1"/>
  <c r="C124" i="2"/>
  <c r="C120" i="2"/>
  <c r="C111" i="2"/>
  <c r="C56" i="2"/>
  <c r="F662" i="1"/>
  <c r="C13" i="10"/>
  <c r="L382" i="1"/>
  <c r="G636" i="1" s="1"/>
  <c r="J636" i="1" s="1"/>
  <c r="H25" i="13"/>
  <c r="E81" i="2"/>
  <c r="L351" i="1"/>
  <c r="H647" i="1"/>
  <c r="G625" i="1"/>
  <c r="L614" i="1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G63" i="2"/>
  <c r="J618" i="1"/>
  <c r="G42" i="2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G50" i="2"/>
  <c r="G51" i="2" s="1"/>
  <c r="J652" i="1"/>
  <c r="J642" i="1"/>
  <c r="G571" i="1"/>
  <c r="I434" i="1"/>
  <c r="G434" i="1"/>
  <c r="I663" i="1"/>
  <c r="C27" i="10"/>
  <c r="C36" i="10" l="1"/>
  <c r="J647" i="1"/>
  <c r="L545" i="1"/>
  <c r="K552" i="1"/>
  <c r="I661" i="1"/>
  <c r="E104" i="2"/>
  <c r="F193" i="1"/>
  <c r="G627" i="1" s="1"/>
  <c r="J627" i="1" s="1"/>
  <c r="G660" i="1"/>
  <c r="G664" i="1" s="1"/>
  <c r="G667" i="1" s="1"/>
  <c r="H660" i="1"/>
  <c r="H664" i="1" s="1"/>
  <c r="H667" i="1" s="1"/>
  <c r="E115" i="2"/>
  <c r="E145" i="2" s="1"/>
  <c r="L338" i="1"/>
  <c r="L352" i="1" s="1"/>
  <c r="G633" i="1" s="1"/>
  <c r="J633" i="1" s="1"/>
  <c r="I662" i="1"/>
  <c r="C128" i="2"/>
  <c r="F660" i="1"/>
  <c r="H648" i="1"/>
  <c r="J648" i="1" s="1"/>
  <c r="C115" i="2"/>
  <c r="L257" i="1"/>
  <c r="L271" i="1" s="1"/>
  <c r="G632" i="1" s="1"/>
  <c r="J632" i="1" s="1"/>
  <c r="C28" i="10"/>
  <c r="D23" i="10" s="1"/>
  <c r="D31" i="13"/>
  <c r="C31" i="13" s="1"/>
  <c r="C63" i="2"/>
  <c r="C104" i="2" s="1"/>
  <c r="E33" i="13"/>
  <c r="D35" i="13" s="1"/>
  <c r="G104" i="2"/>
  <c r="C25" i="13"/>
  <c r="H33" i="13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G672" i="1" l="1"/>
  <c r="C5" i="10" s="1"/>
  <c r="I660" i="1"/>
  <c r="I664" i="1" s="1"/>
  <c r="D33" i="13"/>
  <c r="D36" i="13" s="1"/>
  <c r="H672" i="1"/>
  <c r="C6" i="10" s="1"/>
  <c r="C145" i="2"/>
  <c r="F664" i="1"/>
  <c r="F672" i="1" s="1"/>
  <c r="C4" i="10" s="1"/>
  <c r="D13" i="10"/>
  <c r="D21" i="10"/>
  <c r="D15" i="10"/>
  <c r="D19" i="10"/>
  <c r="D11" i="10"/>
  <c r="D22" i="10"/>
  <c r="D20" i="10"/>
  <c r="D25" i="10"/>
  <c r="D27" i="10"/>
  <c r="D18" i="10"/>
  <c r="D17" i="10"/>
  <c r="D12" i="10"/>
  <c r="D24" i="10"/>
  <c r="D10" i="10"/>
  <c r="D26" i="10"/>
  <c r="C30" i="10"/>
  <c r="D16" i="10"/>
  <c r="H656" i="1"/>
  <c r="C41" i="10"/>
  <c r="D38" i="10" s="1"/>
  <c r="I672" i="1" l="1"/>
  <c r="C7" i="10" s="1"/>
  <c r="I667" i="1"/>
  <c r="F667" i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<sst xmlns="http://schemas.openxmlformats.org/spreadsheetml/2006/main" count="3959" uniqueCount="917">
  <si>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</si>
  <si>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</si>
  <si>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</si>
  <si>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</si>
  <si>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</si>
  <si>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</si>
  <si>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</si>
  <si>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</si>
  <si>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</si>
  <si>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</si>
  <si>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</si>
  <si>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</si>
  <si>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</si>
  <si>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</si>
  <si>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</si>
  <si>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</si>
  <si>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</si>
  <si>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</si>
  <si>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</si>
  <si>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</si>
  <si>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</si>
  <si>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</si>
  <si>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</si>
  <si>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</si>
  <si>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</si>
  <si>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</si>
  <si>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</si>
  <si>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</si>
  <si>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</si>
  <si>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</si>
  <si>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</si>
  <si>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</si>
  <si>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</si>
  <si>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</si>
  <si>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</si>
  <si>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</si>
  <si>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</si>
  <si>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</si>
  <si>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</si>
  <si>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</si>
  <si>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</si>
  <si>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</si>
  <si>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</si>
  <si>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</si>
  <si>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</si>
  <si>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</si>
  <si>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</si>
  <si>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</si>
  <si>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</si>
  <si>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</si>
  <si>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</si>
  <si>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</si>
  <si>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</si>
  <si>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</si>
  <si>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</si>
  <si>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</si>
  <si>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</si>
  <si>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</si>
  <si>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</si>
  <si>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</si>
  <si>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</si>
  <si>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</si>
  <si>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</si>
  <si>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</si>
  <si>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</si>
  <si>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</si>
  <si>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</si>
  <si>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</si>
  <si>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</si>
  <si>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</si>
  <si>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</si>
  <si>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</si>
  <si>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</si>
  <si>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</si>
  <si>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</si>
  <si>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</si>
  <si>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</si>
  <si>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</si>
  <si>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</si>
  <si>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</si>
  <si>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</si>
  <si>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</si>
  <si>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</si>
  <si>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</si>
  <si>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</si>
  <si>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</si>
  <si>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</si>
  <si>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</si>
  <si>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</si>
  <si>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</si>
  <si>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</si>
  <si>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</si>
  <si>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</si>
  <si>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</si>
  <si>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</si>
  <si>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</si>
  <si>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</si>
  <si>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</si>
  <si>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</si>
  <si>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</si>
  <si>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</si>
  <si>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</si>
  <si>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</si>
  <si>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</si>
  <si>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</si>
  <si>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</si>
  <si>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</si>
  <si>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</si>
  <si>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</si>
  <si>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</si>
  <si>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</si>
  <si>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</si>
  <si>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</si>
  <si>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</si>
  <si>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</si>
  <si>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</si>
  <si>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</si>
  <si>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</si>
  <si>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</si>
  <si>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</si>
  <si>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</si>
  <si>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</si>
  <si>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</si>
  <si>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</si>
  <si>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</si>
  <si>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</si>
  <si>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</si>
  <si>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</si>
  <si>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</si>
  <si>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</si>
  <si>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</si>
  <si>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</si>
  <si>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</si>
  <si>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</si>
  <si>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</si>
  <si>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</si>
  <si>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</si>
  <si>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</si>
  <si>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</si>
  <si>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</si>
  <si>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</si>
  <si>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</si>
  <si>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</si>
  <si>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</si>
  <si>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</si>
  <si>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</si>
  <si>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</si>
  <si>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</si>
  <si>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</si>
  <si>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</si>
  <si>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</si>
  <si>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</si>
  <si>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</si>
  <si>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</si>
  <si>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</si>
  <si>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</si>
  <si>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</si>
  <si>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</si>
  <si>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</si>
  <si>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</si>
  <si>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</si>
  <si>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</si>
  <si>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</si>
  <si>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</si>
  <si>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</si>
  <si>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</si>
  <si>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</si>
  <si>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</si>
  <si>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</si>
  <si>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</si>
  <si>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</si>
  <si>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</si>
  <si>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</si>
  <si>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</si>
  <si>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</si>
  <si>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</si>
  <si>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</si>
  <si>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</si>
  <si>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</si>
  <si>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</si>
  <si>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</si>
  <si>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</si>
  <si>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</si>
  <si>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</si>
  <si>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</si>
  <si>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</si>
  <si>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</si>
  <si>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</si>
  <si>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</si>
  <si>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</si>
  <si>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</si>
  <si>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</si>
  <si>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</si>
  <si>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</si>
  <si>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</si>
  <si>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</si>
  <si>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</si>
  <si>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</si>
  <si>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</si>
  <si>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</si>
  <si>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</si>
  <si>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</si>
  <si>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</si>
  <si>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</si>
  <si>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</si>
  <si>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</si>
  <si>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</si>
  <si>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</si>
  <si>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</si>
  <si>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</si>
  <si>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</si>
  <si>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</si>
  <si>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</si>
  <si>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</si>
  <si>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</si>
  <si>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</si>
  <si>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</si>
  <si>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</si>
  <si>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</si>
  <si>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</si>
  <si>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</si>
  <si>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</si>
  <si>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</si>
  <si>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</si>
  <si>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</si>
  <si>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</si>
  <si>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</si>
  <si>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</si>
  <si>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</si>
  <si>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</si>
  <si>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</si>
  <si>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</si>
  <si>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</si>
  <si>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</si>
  <si>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</si>
  <si>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</si>
  <si>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</si>
  <si>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</si>
  <si>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</si>
  <si>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</si>
  <si>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</si>
  <si>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</si>
  <si>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</si>
  <si>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</si>
  <si>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</si>
  <si>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</si>
  <si>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</si>
  <si>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</si>
  <si>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</si>
  <si>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</si>
  <si>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</si>
  <si>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</si>
  <si>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</si>
  <si>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</si>
  <si>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</si>
  <si>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</si>
  <si>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</si>
  <si>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</si>
  <si>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</si>
  <si>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</si>
  <si>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</si>
  <si>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</si>
  <si>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</si>
  <si>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</si>
  <si>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</si>
  <si>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</si>
  <si>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</si>
  <si>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</si>
  <si>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</si>
  <si>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</si>
  <si>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</si>
  <si>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</si>
  <si>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</si>
  <si>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</si>
  <si>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</si>
  <si>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</si>
  <si>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</si>
  <si>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</si>
  <si>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</si>
  <si>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</si>
  <si>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</si>
  <si>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</si>
  <si>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</si>
  <si>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</si>
  <si>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</si>
  <si>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</si>
  <si>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</si>
  <si>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</si>
  <si>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</si>
  <si>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</si>
  <si>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</si>
  <si>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</si>
  <si>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</si>
  <si>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</si>
  <si>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</si>
  <si>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</si>
  <si>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</si>
  <si>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</si>
  <si>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</si>
  <si>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</si>
  <si>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</si>
  <si>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</si>
  <si>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</si>
  <si>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</si>
  <si>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</si>
  <si>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</si>
  <si>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</si>
  <si>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</si>
  <si>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</si>
  <si>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</si>
  <si>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</si>
  <si>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</si>
  <si>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</si>
  <si>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</si>
  <si>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</si>
  <si>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</si>
  <si>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</si>
  <si>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</si>
  <si>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</si>
  <si>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</si>
  <si>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</si>
  <si>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</si>
  <si>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</si>
  <si>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</si>
  <si>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</si>
  <si>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</si>
  <si>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</si>
  <si>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</si>
  <si>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</si>
  <si>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</si>
  <si>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</si>
  <si>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</si>
  <si>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</si>
  <si>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</si>
  <si>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</si>
  <si>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</si>
  <si>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</si>
  <si>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</si>
  <si>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</si>
  <si>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</si>
  <si>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</si>
  <si>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</si>
  <si>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</si>
  <si>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</si>
  <si>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</si>
  <si>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</si>
  <si>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</si>
  <si>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</si>
  <si>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</si>
  <si>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</si>
  <si>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</si>
  <si>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</si>
  <si>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</si>
  <si>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</si>
  <si>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</si>
  <si>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</si>
  <si>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</si>
  <si>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</si>
  <si>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</si>
  <si>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</si>
  <si>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</si>
  <si>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</si>
  <si>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</si>
  <si>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</si>
  <si>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</si>
  <si>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</si>
  <si>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</si>
  <si>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</si>
  <si>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</si>
  <si>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</si>
  <si>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</si>
  <si>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</si>
  <si>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</si>
  <si>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</si>
  <si>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</si>
  <si>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</si>
  <si>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</si>
  <si>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</si>
  <si>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</si>
  <si>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</si>
  <si>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</si>
  <si>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</si>
  <si>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</si>
  <si>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</si>
  <si>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</si>
  <si>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</si>
  <si>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</si>
  <si>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</si>
  <si>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</si>
  <si>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</si>
  <si>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</si>
  <si>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</si>
  <si>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</si>
  <si>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</si>
  <si>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</si>
  <si>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</si>
  <si>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</si>
  <si>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</si>
  <si>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</si>
  <si>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</si>
  <si>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</si>
  <si>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</si>
  <si>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</si>
  <si>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</si>
  <si>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</si>
  <si>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</si>
  <si>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</si>
  <si>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</si>
  <si>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</si>
  <si>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</si>
  <si>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</si>
  <si>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</si>
  <si>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</si>
  <si>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</si>
  <si>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</si>
  <si>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</si>
  <si>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</si>
  <si>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</si>
  <si>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</si>
  <si>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</si>
  <si>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</si>
  <si>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</si>
  <si>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</si>
  <si>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</si>
  <si>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</si>
  <si>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</si>
  <si>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</si>
  <si>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</si>
  <si>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</si>
  <si>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</si>
  <si>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</si>
  <si>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</si>
  <si>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</si>
  <si>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</si>
  <si>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</si>
  <si>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</si>
  <si>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</si>
  <si>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</si>
  <si>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</si>
  <si>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</si>
  <si>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</si>
  <si>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</si>
  <si>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</si>
  <si>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</si>
  <si>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</si>
  <si>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</si>
  <si>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</si>
  <si>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</si>
  <si>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</si>
  <si>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</si>
  <si>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</si>
  <si>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</si>
  <si>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</si>
  <si>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</si>
  <si>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</si>
  <si>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</si>
  <si>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</si>
  <si>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</si>
  <si>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</si>
  <si>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</si>
  <si>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</si>
  <si>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</si>
  <si>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</si>
  <si>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</si>
  <si>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</si>
  <si>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</si>
  <si>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</si>
  <si>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</si>
  <si>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</si>
  <si>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</si>
  <si>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</si>
  <si>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</si>
  <si>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</si>
  <si>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</si>
  <si>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</si>
  <si>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</si>
  <si>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</si>
  <si>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</si>
  <si>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</si>
  <si>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</si>
  <si>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</si>
  <si>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</si>
  <si>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</si>
  <si>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</si>
  <si>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</si>
  <si>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</si>
  <si>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</si>
  <si>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</si>
  <si>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</si>
  <si>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</si>
  <si>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</si>
  <si>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</si>
  <si>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</si>
  <si>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</si>
  <si>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</si>
  <si>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</si>
  <si>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</si>
  <si>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</si>
  <si>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</si>
  <si>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</si>
  <si>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</si>
  <si>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</si>
  <si>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</si>
  <si>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</si>
  <si>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</si>
  <si>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</si>
  <si>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</si>
  <si>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</si>
  <si>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</si>
  <si>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</si>
  <si>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</si>
  <si>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</si>
  <si>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</si>
  <si>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</si>
  <si>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</si>
  <si>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</si>
  <si>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</si>
  <si>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</si>
  <si>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</si>
  <si>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</si>
  <si>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</si>
  <si>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</si>
  <si>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</si>
  <si>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</si>
  <si>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</si>
  <si>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</si>
  <si>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</si>
  <si>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</si>
  <si>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</si>
  <si>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</si>
  <si>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</si>
  <si>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</si>
  <si>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</si>
  <si>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</si>
  <si>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</si>
  <si>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</si>
  <si>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</si>
  <si>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</si>
  <si>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</si>
  <si>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</si>
  <si>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</si>
  <si>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</si>
  <si>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</si>
  <si>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</si>
  <si>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</si>
  <si>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</si>
  <si>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</si>
  <si>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</si>
  <si>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</si>
  <si>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</si>
  <si>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</si>
  <si>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</si>
  <si>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</si>
  <si>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</si>
  <si>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</si>
  <si>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</si>
  <si>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</si>
  <si>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</si>
  <si>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</si>
  <si>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</si>
  <si>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</si>
  <si>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</si>
  <si>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</si>
  <si>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</si>
  <si>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</si>
  <si>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</si>
  <si>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</si>
  <si>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</si>
  <si>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</si>
  <si>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</si>
  <si>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</si>
  <si>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</si>
  <si>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</si>
  <si>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</si>
  <si>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</si>
  <si>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</si>
  <si>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</si>
  <si>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</si>
  <si>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</si>
  <si>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</si>
  <si>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</si>
  <si>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</si>
  <si>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</si>
  <si>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</si>
  <si>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</si>
  <si>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</si>
  <si>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</si>
  <si>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</si>
  <si>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</si>
  <si>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</si>
  <si>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</si>
  <si>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</si>
  <si>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</si>
  <si>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</si>
  <si>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</si>
  <si>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</si>
  <si>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</si>
  <si>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</si>
  <si>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</si>
  <si>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</si>
  <si>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</si>
  <si>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</si>
  <si>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</si>
  <si>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</si>
  <si>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</si>
  <si>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</si>
  <si>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</si>
  <si>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</si>
  <si>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</si>
  <si>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</si>
  <si>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</si>
  <si>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</si>
  <si>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</si>
  <si>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</si>
  <si>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</si>
  <si>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</si>
  <si>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</si>
  <si>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</si>
  <si>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</si>
  <si>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</si>
  <si>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</si>
  <si>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</si>
  <si>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</si>
  <si>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</si>
  <si>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</si>
  <si>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</si>
  <si>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</si>
  <si>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</si>
  <si>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</si>
  <si>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</si>
  <si>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</si>
  <si>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</si>
  <si>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</si>
  <si>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</si>
  <si>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</si>
  <si>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</si>
  <si>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</si>
  <si>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</si>
  <si>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</si>
  <si>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</si>
  <si>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</si>
  <si>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</si>
  <si>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</si>
  <si>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</si>
  <si>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</si>
  <si>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</si>
  <si>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</si>
  <si>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</si>
  <si>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</si>
  <si>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</si>
  <si>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</si>
  <si>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</si>
  <si>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</si>
  <si>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</si>
  <si>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</si>
  <si>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</si>
  <si>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</si>
  <si>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</si>
  <si>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</si>
  <si>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</si>
  <si>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</si>
  <si>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</si>
  <si>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</si>
  <si>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</si>
  <si>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</si>
  <si>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</si>
  <si>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</si>
  <si>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</si>
  <si>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</si>
  <si>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</si>
  <si>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</si>
  <si>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</si>
  <si>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</si>
  <si>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</si>
  <si>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</si>
  <si>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</si>
  <si>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</si>
  <si>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</si>
  <si>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</si>
  <si>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</si>
  <si>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</si>
  <si>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</si>
  <si>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</si>
  <si>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</si>
  <si>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</si>
  <si>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</si>
  <si>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</si>
  <si>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</si>
  <si>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</si>
  <si>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</si>
  <si>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</si>
  <si>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</si>
  <si>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</si>
  <si>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</si>
  <si>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</si>
  <si>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</si>
  <si>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</si>
  <si>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</si>
  <si>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</si>
  <si>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</si>
  <si>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</si>
  <si>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</si>
  <si>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</si>
  <si>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</si>
  <si>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</si>
  <si>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</si>
  <si>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</si>
  <si>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</si>
  <si>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</si>
  <si>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</si>
  <si>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</si>
  <si>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</si>
  <si>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</si>
  <si>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</si>
  <si>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</si>
  <si>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</si>
  <si>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</si>
  <si>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</si>
  <si>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</si>
  <si>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</si>
  <si>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</si>
  <si>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</si>
  <si>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</si>
  <si>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</si>
  <si>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</si>
  <si>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</si>
  <si>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</si>
  <si>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</si>
  <si>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</si>
  <si>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</si>
  <si>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</si>
  <si>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</si>
  <si>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</si>
  <si>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</si>
  <si>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</si>
  <si>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</si>
  <si>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</si>
  <si>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</si>
  <si>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</si>
  <si>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</si>
  <si>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</si>
  <si>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</si>
  <si>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</si>
  <si>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</si>
  <si>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</si>
  <si>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</si>
  <si>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</si>
  <si>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</si>
  <si>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</si>
  <si>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</si>
  <si>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</si>
  <si>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</si>
  <si>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</si>
  <si>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</si>
  <si>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</si>
  <si>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</si>
  <si>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</si>
  <si>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</si>
  <si>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</si>
  <si>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</si>
  <si>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</si>
  <si>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</si>
  <si>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</si>
  <si>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</si>
  <si>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</si>
  <si>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</si>
  <si>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</si>
  <si>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</si>
  <si>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</si>
  <si>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</si>
  <si>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</si>
  <si>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</si>
  <si>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</si>
  <si>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</si>
  <si>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</si>
  <si>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</si>
  <si>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</si>
  <si>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</si>
  <si>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</si>
  <si>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</si>
  <si>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</si>
  <si>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</si>
  <si>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</si>
  <si>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</si>
  <si>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</si>
  <si>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</si>
  <si>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</si>
  <si>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</si>
  <si>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</si>
  <si>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</si>
  <si>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</si>
  <si>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</si>
  <si>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</si>
  <si>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</si>
  <si>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</si>
  <si>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</si>
  <si>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</si>
  <si>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</si>
  <si>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</si>
  <si>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</si>
  <si>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</si>
  <si>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</si>
  <si>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</si>
  <si>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</si>
  <si>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</si>
  <si>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</si>
  <si>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</si>
  <si>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</si>
  <si>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</si>
  <si>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</si>
  <si>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</si>
  <si>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</si>
  <si>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</si>
  <si>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</si>
  <si>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</si>
  <si>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</si>
  <si>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</si>
  <si>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</si>
  <si>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</si>
  <si>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</si>
  <si>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</si>
  <si>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</si>
  <si>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</si>
  <si>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</si>
  <si>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</si>
  <si>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</si>
  <si>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</si>
  <si>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</si>
  <si>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</si>
  <si>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</si>
  <si>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</si>
  <si>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</si>
  <si>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</si>
  <si>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</si>
  <si>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</si>
  <si>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</si>
  <si>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</si>
  <si>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</si>
  <si>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</si>
  <si>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</si>
  <si>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</si>
  <si>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</si>
  <si>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</si>
  <si>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</si>
  <si>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</si>
  <si>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</si>
  <si>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</si>
  <si>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</si>
  <si>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</si>
  <si>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</si>
  <si>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</si>
  <si>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</si>
  <si>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</si>
  <si>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</si>
  <si>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</si>
  <si>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</si>
  <si>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</si>
  <si>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</si>
  <si>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</si>
  <si>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</si>
  <si>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</si>
  <si>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</si>
  <si>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</si>
  <si>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</si>
  <si>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</si>
  <si>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</si>
  <si>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</si>
  <si>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</si>
  <si>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</si>
  <si>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</si>
  <si>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</si>
  <si>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</si>
  <si>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</si>
  <si>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</si>
  <si>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</si>
  <si>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</si>
  <si>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</si>
  <si>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</si>
  <si>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</si>
  <si>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</si>
  <si>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</si>
  <si>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</si>
  <si>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</si>
  <si>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</si>
  <si>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</si>
  <si>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</si>
  <si>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</si>
  <si>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</si>
  <si>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</si>
  <si>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</si>
  <si>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</si>
  <si>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</si>
  <si>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</si>
  <si>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</si>
  <si>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</si>
  <si>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</si>
  <si>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</si>
  <si>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</si>
  <si>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</si>
  <si>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</si>
  <si>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</si>
  <si>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</si>
  <si>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</si>
  <si>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</si>
  <si>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</si>
  <si>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</si>
  <si>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</si>
  <si>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</si>
  <si>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</si>
  <si>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</si>
  <si>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</si>
  <si>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</si>
  <si>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07/06</t>
  </si>
  <si>
    <t>01/10</t>
  </si>
  <si>
    <t>07/16</t>
  </si>
  <si>
    <t>08/25</t>
  </si>
  <si>
    <t>Berlin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</si>
</sst>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41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12"/>
      <color indexed="12"/>
      <name val="Arial Rounded MT Bold"/>
      <family val="2"/>
    </font>
    <font>
      <sz val="12"/>
      <name val="Arial"/>
      <family val="2"/>
    </font>
    <font>
      <sz val="12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39" fillId="0" borderId="0" xfId="0" applyFont="1"/>
    <xf numFmtId="40" fontId="1" fillId="0" borderId="3" xfId="0" applyNumberFormat="1" applyFont="1" applyBorder="1" applyProtection="1">
      <protection locked="0"/>
    </xf>
    <xf numFmtId="0" fontId="39" fillId="0" borderId="0" xfId="0" applyFont="1" applyFill="1" applyAlignment="1">
      <alignment horizontal="center"/>
    </xf>
    <xf numFmtId="0" fontId="39" fillId="0" borderId="0" xfId="0" applyFont="1" applyFill="1"/>
    <xf numFmtId="40" fontId="38" fillId="0" borderId="0" xfId="0" applyNumberFormat="1" applyFont="1" applyFill="1" applyProtection="1">
      <protection locked="0"/>
    </xf>
    <xf numFmtId="40" fontId="40" fillId="0" borderId="0" xfId="0" applyNumberFormat="1" applyFont="1" applyFill="1" applyProtection="1">
      <protection locked="0"/>
    </xf>
    <xf numFmtId="40" fontId="39" fillId="0" borderId="0" xfId="0" applyNumberFormat="1" applyFont="1" applyFill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120" zoomScaleNormal="120" workbookViewId="0">
      <pane ySplit="3" topLeftCell="A641" activePane="bottomLeft" state="frozen"/>
      <selection pane="bottomLef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916</v>
      </c>
      <c r="B2" s="21">
        <v>51</v>
      </c>
      <c r="C2" s="21">
        <v>51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/>
      <c r="G9" s="18">
        <v>1585.54</v>
      </c>
      <c r="H9" s="18">
        <v>28862.09</v>
      </c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0</v>
      </c>
      <c r="G19" s="41">
        <f>SUM(G9:G18)</f>
        <v>1585.54</v>
      </c>
      <c r="H19" s="41">
        <f>SUM(H9:H18)</f>
        <v>28862.09</v>
      </c>
      <c r="I19" s="41">
        <f>SUM(I9:I18)</f>
        <v>0</v>
      </c>
      <c r="J19" s="41">
        <f>SUM(J9:J18)</f>
        <v>0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0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1585.54</v>
      </c>
      <c r="H48" s="18">
        <v>28862.09</v>
      </c>
      <c r="I48" s="18"/>
      <c r="J48" s="13">
        <f>SUM(I459)</f>
        <v>0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/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0</v>
      </c>
      <c r="G51" s="41">
        <f>SUM(G35:G50)</f>
        <v>1585.54</v>
      </c>
      <c r="H51" s="41">
        <f>SUM(H35:H50)</f>
        <v>28862.09</v>
      </c>
      <c r="I51" s="41">
        <f>SUM(I35:I50)</f>
        <v>0</v>
      </c>
      <c r="J51" s="41">
        <f>SUM(J35:J50)</f>
        <v>0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0</v>
      </c>
      <c r="G52" s="41">
        <f>G51+G32</f>
        <v>1585.54</v>
      </c>
      <c r="H52" s="41">
        <f>H51+H32</f>
        <v>28862.09</v>
      </c>
      <c r="I52" s="41">
        <f>I51+I32</f>
        <v>0</v>
      </c>
      <c r="J52" s="41">
        <f>J51+J32</f>
        <v>0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4510450.33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4510450.33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f>1186462.18</f>
        <v>1186462.18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>
        <f>74056.39</f>
        <v>74056.39</v>
      </c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1260518.5699999998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>
        <f>1335.09</f>
        <v>1335.09</v>
      </c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1335.09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/>
      <c r="G96" s="18"/>
      <c r="H96" s="18"/>
      <c r="I96" s="18"/>
      <c r="J96" s="18"/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221782.88</f>
        <v>221782.88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>
        <v>718.9</v>
      </c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f>33737</f>
        <v>33737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48818.52</f>
        <v>48818.52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49537.42</v>
      </c>
      <c r="G111" s="41">
        <f>SUM(G96:G110)</f>
        <v>221782.88</v>
      </c>
      <c r="H111" s="41">
        <f>SUM(H96:H110)</f>
        <v>33737</v>
      </c>
      <c r="I111" s="41">
        <f>SUM(I96:I110)</f>
        <v>0</v>
      </c>
      <c r="J111" s="41">
        <f>SUM(J96:J110)</f>
        <v>0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5821841.4100000001</v>
      </c>
      <c r="G112" s="41">
        <f>G60+G111</f>
        <v>221782.88</v>
      </c>
      <c r="H112" s="41">
        <f>H60+H79+H94+H111</f>
        <v>33737</v>
      </c>
      <c r="I112" s="41">
        <f>I60+I111</f>
        <v>0</v>
      </c>
      <c r="J112" s="41">
        <f>J60+J111</f>
        <v>0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f>10235655.02</f>
        <v>10235655.02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734425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>
        <f>3067.63</f>
        <v>3067.63</v>
      </c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10973147.65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f>178244.35</f>
        <v>178244.35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f>24072.89</f>
        <v>24072.89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f>87862.43</f>
        <v>87862.43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>
        <v>17596.650000000001</v>
      </c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9101.3700000000008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290179.67</v>
      </c>
      <c r="G136" s="41">
        <f>SUM(G123:G135)</f>
        <v>9101.3700000000008</v>
      </c>
      <c r="H136" s="41">
        <f>SUM(H123:H135)</f>
        <v>17596.650000000001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11263327.32</v>
      </c>
      <c r="G140" s="41">
        <f>G121+SUM(G136:G137)</f>
        <v>9101.3700000000008</v>
      </c>
      <c r="H140" s="41">
        <f>H121+SUM(H136:H139)</f>
        <v>17596.650000000001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588850.26</f>
        <v>588850.26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411472.73</f>
        <v>411472.73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>
        <f>70907.59</f>
        <v>70907.59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403576.76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f>313655.3</f>
        <v>313655.3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f>309268.83</f>
        <v>309268.83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>
        <v>588606.56999999995</v>
      </c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309268.83</v>
      </c>
      <c r="G162" s="41">
        <f>SUM(G150:G161)</f>
        <v>403576.76</v>
      </c>
      <c r="H162" s="41">
        <f>SUM(H150:H161)</f>
        <v>1973492.4500000002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>
        <f>18029.22</f>
        <v>18029.22</v>
      </c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25134.66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352432.71</v>
      </c>
      <c r="G169" s="41">
        <f>G147+G162+SUM(G163:G168)</f>
        <v>403576.76</v>
      </c>
      <c r="H169" s="41">
        <f>H147+H162+SUM(H163:H168)</f>
        <v>1973492.4500000002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17437601.440000001</v>
      </c>
      <c r="G193" s="47">
        <f>G112+G140+G169+G192</f>
        <v>634461.01</v>
      </c>
      <c r="H193" s="47">
        <f>H112+H140+H169+H192</f>
        <v>2024826.1</v>
      </c>
      <c r="I193" s="47">
        <f>I112+I140+I169+I192</f>
        <v>0</v>
      </c>
      <c r="J193" s="47">
        <f>J112+J140+J192</f>
        <v>0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56850.52+1794462.73+8000+860+820</f>
        <v>1860993.25</v>
      </c>
      <c r="G197" s="18">
        <f>37859.99+712008.46+584.27</f>
        <v>750452.72</v>
      </c>
      <c r="H197" s="18">
        <f>17517.94+29151.43</f>
        <v>46669.369999999995</v>
      </c>
      <c r="I197" s="18">
        <f>5023.4+61033.42</f>
        <v>66056.819999999992</v>
      </c>
      <c r="J197" s="18">
        <f>90573.38+24067.93+7134.71+8885.34</f>
        <v>130661.36</v>
      </c>
      <c r="K197" s="18"/>
      <c r="L197" s="19">
        <f>SUM(F197:K197)</f>
        <v>2854833.5199999996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36864.07+13441.5+19309+612757.44+1812.5+20256.19+2000</f>
        <v>706440.7</v>
      </c>
      <c r="G198" s="18">
        <f>1028.44+6251.78+1477.06+141336.21+138.66+1549.61+221.79</f>
        <v>152003.54999999999</v>
      </c>
      <c r="H198" s="18">
        <f>31140.87+131092.97+40972.28</f>
        <v>203206.12</v>
      </c>
      <c r="I198" s="18">
        <f>115.77+1992.32+1028.49</f>
        <v>3136.58</v>
      </c>
      <c r="J198" s="18">
        <f>352.66</f>
        <v>352.66</v>
      </c>
      <c r="K198" s="18"/>
      <c r="L198" s="19">
        <f>SUM(F198:K198)</f>
        <v>1065139.6100000001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f>26929.93+26218</f>
        <v>53147.93</v>
      </c>
      <c r="G200" s="18">
        <f>2952.25+4218.06+16.69</f>
        <v>7187</v>
      </c>
      <c r="H200" s="18">
        <f>1114+38867.89+4202.91</f>
        <v>44184.800000000003</v>
      </c>
      <c r="I200" s="18">
        <f>165+647.53</f>
        <v>812.53</v>
      </c>
      <c r="J200" s="18"/>
      <c r="K200" s="18">
        <f>160+135</f>
        <v>295</v>
      </c>
      <c r="L200" s="19">
        <f>SUM(F200:K200)</f>
        <v>105627.26000000001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64848.15+184326.01+18375+97262+69952+4000+1640</f>
        <v>440403.16000000003</v>
      </c>
      <c r="G202" s="18">
        <f>29972.02+62429.92+1405.71+31748.87+25335.95+138.27</f>
        <v>151030.74</v>
      </c>
      <c r="H202" s="18">
        <f>6918.75+427.05+11581.33+208454.75+9378.11+295+2655.25+377</f>
        <v>240087.24</v>
      </c>
      <c r="I202" s="18">
        <f>3148.28+623.54+770.93+2205.3</f>
        <v>6748.05</v>
      </c>
      <c r="J202" s="18">
        <f>5668.62</f>
        <v>5668.62</v>
      </c>
      <c r="K202" s="18">
        <f>125+387+49.95</f>
        <v>561.95000000000005</v>
      </c>
      <c r="L202" s="19">
        <f t="shared" ref="L202:L208" si="0">SUM(F202:K202)</f>
        <v>844499.76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107963.93</f>
        <v>107963.93</v>
      </c>
      <c r="G203" s="18">
        <f>12185.33+48118.83+33.9</f>
        <v>60338.060000000005</v>
      </c>
      <c r="H203" s="18">
        <f>1855.99</f>
        <v>1855.99</v>
      </c>
      <c r="I203" s="18">
        <f>1165.94+7446.65</f>
        <v>8612.59</v>
      </c>
      <c r="J203" s="18"/>
      <c r="K203" s="18"/>
      <c r="L203" s="19">
        <f t="shared" si="0"/>
        <v>178770.56999999998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f>62700.77+46775.72+1800</f>
        <v>111276.48999999999</v>
      </c>
      <c r="G204" s="18">
        <f>25048.04+10683.98+34.94</f>
        <v>35766.960000000006</v>
      </c>
      <c r="H204" s="18">
        <f>6779.72+7589.54+3201.88+31184.6</f>
        <v>48755.74</v>
      </c>
      <c r="I204" s="18">
        <f>35.05+3878.42+1359.39</f>
        <v>5272.8600000000006</v>
      </c>
      <c r="J204" s="18">
        <f>1257.38+138</f>
        <v>1395.38</v>
      </c>
      <c r="K204" s="18">
        <f>8568.78+768.47+112.5</f>
        <v>9449.75</v>
      </c>
      <c r="L204" s="19">
        <f t="shared" si="0"/>
        <v>211917.18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f>197794.97+4000</f>
        <v>201794.97</v>
      </c>
      <c r="G205" s="18">
        <f>47425.75+63.35</f>
        <v>47489.1</v>
      </c>
      <c r="H205" s="18">
        <f>34974.14</f>
        <v>34974.14</v>
      </c>
      <c r="I205" s="18">
        <f>2962.17</f>
        <v>2962.17</v>
      </c>
      <c r="J205" s="18"/>
      <c r="K205" s="18">
        <f>1530</f>
        <v>1530</v>
      </c>
      <c r="L205" s="19">
        <f t="shared" si="0"/>
        <v>288750.38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f>65634.35</f>
        <v>65634.350000000006</v>
      </c>
      <c r="G206" s="18">
        <f>25706.32+20.61</f>
        <v>25726.93</v>
      </c>
      <c r="H206" s="18">
        <f>508.57+10709.21</f>
        <v>11217.779999999999</v>
      </c>
      <c r="I206" s="18"/>
      <c r="J206" s="18"/>
      <c r="K206" s="18">
        <f>1157.59</f>
        <v>1157.5899999999999</v>
      </c>
      <c r="L206" s="19">
        <f t="shared" si="0"/>
        <v>103736.65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f>72805.87+83182.33</f>
        <v>155988.20000000001</v>
      </c>
      <c r="G207" s="18">
        <f>28514.19+54245.73+48.97</f>
        <v>82808.89</v>
      </c>
      <c r="H207" s="18">
        <f>159696.49+21652.53+3199+699.46</f>
        <v>185247.47999999998</v>
      </c>
      <c r="I207" s="18">
        <f>52440.35+40924.59+13120</f>
        <v>106484.94</v>
      </c>
      <c r="J207" s="18">
        <f>9440.7</f>
        <v>9440.7000000000007</v>
      </c>
      <c r="K207" s="18"/>
      <c r="L207" s="19">
        <f t="shared" si="0"/>
        <v>539970.21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f>85132.37+1793.09+3562.75+3288.05+131.47+1957.05</f>
        <v>95864.78</v>
      </c>
      <c r="G208" s="18">
        <f>20199.33+137.17+272.52+251.52+10.05+149.51+30.1</f>
        <v>21050.199999999997</v>
      </c>
      <c r="H208" s="18">
        <f>29408.88+4299.12</f>
        <v>33708</v>
      </c>
      <c r="I208" s="18">
        <f>28701.59</f>
        <v>28701.59</v>
      </c>
      <c r="J208" s="18">
        <f>50902.11</f>
        <v>50902.11</v>
      </c>
      <c r="K208" s="18">
        <f>175.77</f>
        <v>175.77</v>
      </c>
      <c r="L208" s="19">
        <f t="shared" si="0"/>
        <v>230402.44999999998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f>1992.19</f>
        <v>1992.19</v>
      </c>
      <c r="G209" s="18">
        <f>152.41+0.63</f>
        <v>153.04</v>
      </c>
      <c r="H209" s="18"/>
      <c r="I209" s="18"/>
      <c r="J209" s="18"/>
      <c r="K209" s="18"/>
      <c r="L209" s="19">
        <f>SUM(F209:K209)</f>
        <v>2145.23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3801499.9500000011</v>
      </c>
      <c r="G211" s="41">
        <f t="shared" si="1"/>
        <v>1334007.19</v>
      </c>
      <c r="H211" s="41">
        <f t="shared" si="1"/>
        <v>849906.66</v>
      </c>
      <c r="I211" s="41">
        <f t="shared" si="1"/>
        <v>228788.12999999998</v>
      </c>
      <c r="J211" s="41">
        <f t="shared" si="1"/>
        <v>198420.83000000002</v>
      </c>
      <c r="K211" s="41">
        <f t="shared" si="1"/>
        <v>13170.060000000001</v>
      </c>
      <c r="L211" s="41">
        <f t="shared" si="1"/>
        <v>6425792.8200000003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f>31891.75+1080424.2+2000+280+460</f>
        <v>1115055.95</v>
      </c>
      <c r="G215" s="18">
        <f>21238.54+465106.95+350.07</f>
        <v>486695.56</v>
      </c>
      <c r="H215" s="18">
        <f>9827.13+5690.91</f>
        <v>15518.039999999999</v>
      </c>
      <c r="I215" s="18">
        <f>2818.01+44071.48</f>
        <v>46889.490000000005</v>
      </c>
      <c r="J215" s="18">
        <f>50809.46+40339.92+4557.3</f>
        <v>95706.680000000008</v>
      </c>
      <c r="K215" s="18">
        <f>12983.96</f>
        <v>12983.96</v>
      </c>
      <c r="L215" s="19">
        <f>SUM(F215:K215)</f>
        <v>1772849.68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f>2247.81+7467.5+413281.89</f>
        <v>422997.2</v>
      </c>
      <c r="G216" s="18">
        <f>571.36+381.21+137771.16+132.8</f>
        <v>138856.53</v>
      </c>
      <c r="H216" s="18">
        <f>17300.48+94488.31</f>
        <v>111788.79</v>
      </c>
      <c r="I216" s="18">
        <f>7.06+1520.55</f>
        <v>1527.61</v>
      </c>
      <c r="J216" s="18"/>
      <c r="K216" s="18"/>
      <c r="L216" s="19">
        <f>SUM(F216:K216)</f>
        <v>675170.13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f>10790.17+25822</f>
        <v>36612.17</v>
      </c>
      <c r="G218" s="18">
        <f>1954.69+4249.65+11.49</f>
        <v>6215.83</v>
      </c>
      <c r="H218" s="18">
        <f>2186.94+11132.08+2357.73</f>
        <v>15676.75</v>
      </c>
      <c r="I218" s="18">
        <f>3013.93</f>
        <v>3013.93</v>
      </c>
      <c r="J218" s="18">
        <f>1997.37</f>
        <v>1997.37</v>
      </c>
      <c r="K218" s="18">
        <f>1200+695</f>
        <v>1895</v>
      </c>
      <c r="L218" s="19">
        <f>SUM(F218:K218)</f>
        <v>65411.05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f>33035.85+42536.77+75374.01+29028.88+920</f>
        <v>180895.51</v>
      </c>
      <c r="G220" s="18">
        <f>15268.76+14406.91+31866.91+15123.91+56.79</f>
        <v>76723.28</v>
      </c>
      <c r="H220" s="18">
        <f>3881.25+98.55+2672.61+11329.06+1526.67+674.43+292.5</f>
        <v>20475.07</v>
      </c>
      <c r="I220" s="18">
        <f>1603.84+143.9+1109+1078.63</f>
        <v>3935.37</v>
      </c>
      <c r="J220" s="18">
        <f>2468.38</f>
        <v>2468.38</v>
      </c>
      <c r="K220" s="18">
        <f>289</f>
        <v>289</v>
      </c>
      <c r="L220" s="19">
        <f t="shared" ref="L220:L226" si="2">SUM(F220:K220)</f>
        <v>284786.61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f>21183.5</f>
        <v>21183.5</v>
      </c>
      <c r="G221" s="18">
        <f>5820+9339.23+6.65</f>
        <v>15165.88</v>
      </c>
      <c r="H221" s="18">
        <f>490+1809.51</f>
        <v>2299.5100000000002</v>
      </c>
      <c r="I221" s="18">
        <f>104.14+5632.96</f>
        <v>5737.1</v>
      </c>
      <c r="J221" s="18"/>
      <c r="K221" s="18">
        <f>290</f>
        <v>290</v>
      </c>
      <c r="L221" s="19">
        <f t="shared" si="2"/>
        <v>44675.99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f>35173.6+25986.51+1000</f>
        <v>62160.11</v>
      </c>
      <c r="G222" s="18">
        <f>14051.34+5935.54+19.52</f>
        <v>20006.400000000001</v>
      </c>
      <c r="H222" s="18">
        <f>3803.26+4257.55+1778.82+17493.8</f>
        <v>27333.43</v>
      </c>
      <c r="I222" s="18">
        <f>19.67+2175.7+82.89</f>
        <v>2278.2599999999998</v>
      </c>
      <c r="J222" s="18">
        <f>705.36+76.67</f>
        <v>782.03</v>
      </c>
      <c r="K222" s="18">
        <f>4806.87+431.09+62.5</f>
        <v>5300.46</v>
      </c>
      <c r="L222" s="19">
        <f t="shared" si="2"/>
        <v>117860.69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f>115698.54</f>
        <v>115698.54</v>
      </c>
      <c r="G223" s="18">
        <f>67964.73+36.32</f>
        <v>68001.05</v>
      </c>
      <c r="H223" s="18">
        <f>19616.96</f>
        <v>19616.96</v>
      </c>
      <c r="I223" s="18">
        <f>972.05</f>
        <v>972.05</v>
      </c>
      <c r="J223" s="18">
        <f>2718.18</f>
        <v>2718.18</v>
      </c>
      <c r="K223" s="18">
        <f>1314.99</f>
        <v>1314.99</v>
      </c>
      <c r="L223" s="19">
        <f t="shared" si="2"/>
        <v>208321.76999999996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f>36819.26</f>
        <v>36819.26</v>
      </c>
      <c r="G224" s="18">
        <f>14420.62+11.56</f>
        <v>14432.18</v>
      </c>
      <c r="H224" s="18">
        <f>285.3+6007.6</f>
        <v>6292.9000000000005</v>
      </c>
      <c r="I224" s="18"/>
      <c r="J224" s="18"/>
      <c r="K224" s="18">
        <f>649.38</f>
        <v>649.38</v>
      </c>
      <c r="L224" s="19">
        <f t="shared" si="2"/>
        <v>58193.72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f>40842.32+89249.45</f>
        <v>130091.76999999999</v>
      </c>
      <c r="G225" s="18">
        <f>15995.76+42893.07+40.84</f>
        <v>58929.67</v>
      </c>
      <c r="H225" s="18">
        <f>89585.83+12146.54+1599.5+392.38</f>
        <v>103724.25</v>
      </c>
      <c r="I225" s="18">
        <f>29417.75+178901.7+7360</f>
        <v>215679.45</v>
      </c>
      <c r="J225" s="18">
        <f>5296</f>
        <v>5296</v>
      </c>
      <c r="K225" s="18"/>
      <c r="L225" s="19">
        <f t="shared" si="2"/>
        <v>513721.14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f>31080.07+109.33+835.71+113.62+4441.91+2834.04</f>
        <v>39414.68</v>
      </c>
      <c r="G226" s="18">
        <f>7374.36+8.36+63.92+8.67+339.66+216.61+12.37</f>
        <v>8023.9499999999989</v>
      </c>
      <c r="H226" s="18">
        <f>10736.58+1569.52</f>
        <v>12306.1</v>
      </c>
      <c r="I226" s="18">
        <f>10478.36</f>
        <v>10478.36</v>
      </c>
      <c r="J226" s="18">
        <f>18583.31</f>
        <v>18583.310000000001</v>
      </c>
      <c r="K226" s="18">
        <v>64.17</v>
      </c>
      <c r="L226" s="19">
        <f t="shared" si="2"/>
        <v>88870.569999999992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>
        <f>1117.57</f>
        <v>1117.57</v>
      </c>
      <c r="G227" s="18">
        <f>85.5+0.35</f>
        <v>85.85</v>
      </c>
      <c r="H227" s="18"/>
      <c r="I227" s="18"/>
      <c r="J227" s="18"/>
      <c r="K227" s="18"/>
      <c r="L227" s="19">
        <f>SUM(F227:K227)</f>
        <v>1203.4199999999998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2162046.2599999998</v>
      </c>
      <c r="G229" s="41">
        <f>SUM(G215:G228)</f>
        <v>893136.18</v>
      </c>
      <c r="H229" s="41">
        <f>SUM(H215:H228)</f>
        <v>335031.79999999993</v>
      </c>
      <c r="I229" s="41">
        <f>SUM(I215:I228)</f>
        <v>290511.62</v>
      </c>
      <c r="J229" s="41">
        <f>SUM(J215:J228)</f>
        <v>127551.95</v>
      </c>
      <c r="K229" s="41">
        <f t="shared" si="3"/>
        <v>22786.959999999999</v>
      </c>
      <c r="L229" s="41">
        <f t="shared" si="3"/>
        <v>3831064.77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f>49917.53+1727453.81+12000+860+720</f>
        <v>1790951.34</v>
      </c>
      <c r="G233" s="18">
        <f>33242.93+749087.66+562.27</f>
        <v>782892.8600000001</v>
      </c>
      <c r="H233" s="18">
        <f>15381.6+9364.5</f>
        <v>24746.1</v>
      </c>
      <c r="I233" s="18">
        <f>4410.8+75120.48</f>
        <v>79531.28</v>
      </c>
      <c r="J233" s="18">
        <f>79527.85+20095.27+4557.31</f>
        <v>104180.43000000001</v>
      </c>
      <c r="K233" s="18">
        <f>649</f>
        <v>649</v>
      </c>
      <c r="L233" s="19">
        <f>SUM(F233:K233)</f>
        <v>2782951.0100000002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f>5844.3+8961+540828.42</f>
        <v>555633.72000000009</v>
      </c>
      <c r="G234" s="18">
        <f>685.63+991.14+149630.21+174.44</f>
        <v>151481.41999999998</v>
      </c>
      <c r="H234" s="18">
        <f>20760.58+618943.66+40036</f>
        <v>679740.24</v>
      </c>
      <c r="I234" s="18">
        <f>18.35+1349.2</f>
        <v>1367.55</v>
      </c>
      <c r="J234" s="18"/>
      <c r="K234" s="18"/>
      <c r="L234" s="19">
        <f>SUM(F234:K234)</f>
        <v>1388222.9300000002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f>450721.58+4000</f>
        <v>454721.58</v>
      </c>
      <c r="G235" s="18">
        <f>204150.85+142.76</f>
        <v>204293.61000000002</v>
      </c>
      <c r="H235" s="18">
        <f>2499.03</f>
        <v>2499.0300000000002</v>
      </c>
      <c r="I235" s="18">
        <f>45337.38</f>
        <v>45337.38</v>
      </c>
      <c r="J235" s="18">
        <f>2398.31</f>
        <v>2398.31</v>
      </c>
      <c r="K235" s="18"/>
      <c r="L235" s="19">
        <f>SUM(F235:K235)</f>
        <v>709249.91000000015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f>20886+93168</f>
        <v>114054</v>
      </c>
      <c r="G236" s="18">
        <f>4264.32+16350+35.81</f>
        <v>20650.13</v>
      </c>
      <c r="H236" s="18">
        <f>40628.36+3690.36</f>
        <v>44318.720000000001</v>
      </c>
      <c r="I236" s="18">
        <f>747.3+14840.88</f>
        <v>15588.179999999998</v>
      </c>
      <c r="J236" s="18">
        <f>1329</f>
        <v>1329</v>
      </c>
      <c r="K236" s="18">
        <f>13389.63</f>
        <v>13389.63</v>
      </c>
      <c r="L236" s="19">
        <f>SUM(F236:K236)</f>
        <v>209329.66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f>24471+56715.7+182578.39+35325+1440</f>
        <v>300530.09000000003</v>
      </c>
      <c r="G238" s="18">
        <f>11310.2+19209.21+83125.5+29707.96+94.35</f>
        <v>143447.22</v>
      </c>
      <c r="H238" s="18">
        <f>6075+131.4+3563.48+6797.44+3949.77+590</f>
        <v>21107.09</v>
      </c>
      <c r="I238" s="18">
        <f>1188.03+191.86+2648.04+1873.56</f>
        <v>5901.49</v>
      </c>
      <c r="J238" s="18">
        <v>2185.4499999999998</v>
      </c>
      <c r="K238" s="18">
        <f>813</f>
        <v>813</v>
      </c>
      <c r="L238" s="19">
        <f t="shared" ref="L238:L244" si="4">SUM(F238:K238)</f>
        <v>473984.34000000008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f>41673+2000</f>
        <v>43673</v>
      </c>
      <c r="G239" s="18">
        <f>7209.75+10400.19+13.71</f>
        <v>17623.650000000001</v>
      </c>
      <c r="H239" s="18">
        <f>1376.08+2080.54</f>
        <v>3456.62</v>
      </c>
      <c r="I239" s="18">
        <f>6390.11+7291.85</f>
        <v>13681.96</v>
      </c>
      <c r="J239" s="18"/>
      <c r="K239" s="18"/>
      <c r="L239" s="19">
        <f t="shared" si="4"/>
        <v>78435.23000000001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f>55054.34+31183.82+100804.43+1200</f>
        <v>188242.59</v>
      </c>
      <c r="G240" s="18">
        <f>21993.4+7122.65+35527.95+59.1</f>
        <v>64703.1</v>
      </c>
      <c r="H240" s="18">
        <f>5952.92+6663.99+2134.58+6433.02+27381.6</f>
        <v>48566.11</v>
      </c>
      <c r="I240" s="18">
        <f>30.78+3405.45+215.51</f>
        <v>3651.74</v>
      </c>
      <c r="J240" s="18">
        <f>1104.04+92</f>
        <v>1196.04</v>
      </c>
      <c r="K240" s="18">
        <f>7523.8+1500+674.76+75+105</f>
        <v>9878.56</v>
      </c>
      <c r="L240" s="19">
        <f t="shared" si="4"/>
        <v>316238.13999999996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f>222669.8</f>
        <v>222669.8</v>
      </c>
      <c r="G241" s="18">
        <f>79279.41+69.91</f>
        <v>79349.320000000007</v>
      </c>
      <c r="H241" s="18">
        <f>25111.81</f>
        <v>25111.81</v>
      </c>
      <c r="I241" s="18">
        <f>3908.15</f>
        <v>3908.15</v>
      </c>
      <c r="J241" s="18">
        <f>7298.9</f>
        <v>7298.9</v>
      </c>
      <c r="K241" s="18">
        <f>4974</f>
        <v>4974</v>
      </c>
      <c r="L241" s="19">
        <f t="shared" si="4"/>
        <v>343311.98000000004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f>57630.15</f>
        <v>57630.15</v>
      </c>
      <c r="G242" s="18">
        <f>22571.4+18.09</f>
        <v>22589.49</v>
      </c>
      <c r="H242" s="18">
        <f>446.55+9403.21</f>
        <v>9849.7599999999984</v>
      </c>
      <c r="I242" s="18"/>
      <c r="J242" s="18"/>
      <c r="K242" s="18">
        <f>1016.42</f>
        <v>1016.42</v>
      </c>
      <c r="L242" s="19">
        <f t="shared" si="4"/>
        <v>91085.819999999992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f>63927.11+136556.47</f>
        <v>200483.58000000002</v>
      </c>
      <c r="G243" s="18">
        <f>25036.85+71978.43+62.94</f>
        <v>97078.22</v>
      </c>
      <c r="H243" s="18">
        <f>140221.3+19011.97+1713+614.16</f>
        <v>161560.43</v>
      </c>
      <c r="I243" s="18">
        <f>46045.18+185161.44+11520</f>
        <v>242726.62</v>
      </c>
      <c r="J243" s="18">
        <f>8289.39</f>
        <v>8289.39</v>
      </c>
      <c r="K243" s="18"/>
      <c r="L243" s="19">
        <f t="shared" si="4"/>
        <v>710138.24000000011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f>18918.3+284.27+556.38+18998.24+3594.76</f>
        <v>42351.950000000004</v>
      </c>
      <c r="G244" s="18">
        <f>4488.74+21.75+42.47+1453.01+274.82+13.3</f>
        <v>6294.09</v>
      </c>
      <c r="H244" s="18">
        <f>6535.31+2047.5+955.36</f>
        <v>9538.1700000000019</v>
      </c>
      <c r="I244" s="18">
        <f>6378.13</f>
        <v>6378.13</v>
      </c>
      <c r="J244" s="18">
        <f>11311.58</f>
        <v>11311.58</v>
      </c>
      <c r="K244" s="18">
        <f>39.06</f>
        <v>39.06</v>
      </c>
      <c r="L244" s="19">
        <f t="shared" si="4"/>
        <v>75912.98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>
        <f>1749.24</f>
        <v>1749.24</v>
      </c>
      <c r="G245" s="18">
        <f>133.82+0.55</f>
        <v>134.37</v>
      </c>
      <c r="H245" s="18"/>
      <c r="I245" s="18"/>
      <c r="J245" s="18"/>
      <c r="K245" s="18"/>
      <c r="L245" s="19">
        <f>SUM(F245:K245)</f>
        <v>1883.6100000000001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3972691.04</v>
      </c>
      <c r="G247" s="41">
        <f t="shared" si="5"/>
        <v>1590537.4800000002</v>
      </c>
      <c r="H247" s="41">
        <f t="shared" si="5"/>
        <v>1030494.08</v>
      </c>
      <c r="I247" s="41">
        <f t="shared" si="5"/>
        <v>418072.48</v>
      </c>
      <c r="J247" s="41">
        <f t="shared" si="5"/>
        <v>138189.09999999998</v>
      </c>
      <c r="K247" s="41">
        <f t="shared" si="5"/>
        <v>30759.67</v>
      </c>
      <c r="L247" s="41">
        <f t="shared" si="5"/>
        <v>7180743.8500000024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9936237.25</v>
      </c>
      <c r="G257" s="41">
        <f t="shared" si="8"/>
        <v>3817680.8500000006</v>
      </c>
      <c r="H257" s="41">
        <f t="shared" si="8"/>
        <v>2215432.54</v>
      </c>
      <c r="I257" s="41">
        <f t="shared" si="8"/>
        <v>937372.23</v>
      </c>
      <c r="J257" s="41">
        <f t="shared" si="8"/>
        <v>464161.88</v>
      </c>
      <c r="K257" s="41">
        <f t="shared" si="8"/>
        <v>66716.69</v>
      </c>
      <c r="L257" s="41">
        <f t="shared" si="8"/>
        <v>17437601.440000001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0</v>
      </c>
      <c r="L270" s="41">
        <f t="shared" si="9"/>
        <v>0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9936237.25</v>
      </c>
      <c r="G271" s="42">
        <f t="shared" si="11"/>
        <v>3817680.8500000006</v>
      </c>
      <c r="H271" s="42">
        <f t="shared" si="11"/>
        <v>2215432.54</v>
      </c>
      <c r="I271" s="42">
        <f t="shared" si="11"/>
        <v>937372.23</v>
      </c>
      <c r="J271" s="42">
        <f t="shared" si="11"/>
        <v>464161.88</v>
      </c>
      <c r="K271" s="42">
        <f t="shared" si="11"/>
        <v>66716.69</v>
      </c>
      <c r="L271" s="42">
        <f t="shared" si="11"/>
        <v>17437601.440000001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f>810+48312.05</f>
        <v>49122.05</v>
      </c>
      <c r="G276" s="18">
        <f>168.91+13946.13</f>
        <v>14115.039999999999</v>
      </c>
      <c r="H276" s="18">
        <f>6809.15+15874.56</f>
        <v>22683.71</v>
      </c>
      <c r="I276" s="18">
        <f>6511.59+21634.28</f>
        <v>28145.87</v>
      </c>
      <c r="J276" s="18">
        <f>7217.07</f>
        <v>7217.07</v>
      </c>
      <c r="K276" s="18"/>
      <c r="L276" s="19">
        <f>SUM(F276:K276)</f>
        <v>121283.73999999999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f>421482.1+49971.29</f>
        <v>471453.38999999996</v>
      </c>
      <c r="G277" s="18">
        <f>115926.45+21888.55</f>
        <v>137815</v>
      </c>
      <c r="H277" s="18">
        <f>10710+18850+9558.07</f>
        <v>39118.07</v>
      </c>
      <c r="I277" s="18">
        <f>3341.94</f>
        <v>3341.94</v>
      </c>
      <c r="J277" s="18"/>
      <c r="K277" s="18">
        <f>18539.77</f>
        <v>18539.77</v>
      </c>
      <c r="L277" s="19">
        <f>SUM(F277:K277)</f>
        <v>670268.16999999981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f>110559.56</f>
        <v>110559.56</v>
      </c>
      <c r="G279" s="18">
        <f>19904.27</f>
        <v>19904.27</v>
      </c>
      <c r="H279" s="18">
        <f>2019.28</f>
        <v>2019.28</v>
      </c>
      <c r="I279" s="18">
        <f>1268.57</f>
        <v>1268.57</v>
      </c>
      <c r="J279" s="18"/>
      <c r="K279" s="18"/>
      <c r="L279" s="19">
        <f>SUM(F279:K279)</f>
        <v>133751.68000000002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f>47004.05+28527.5</f>
        <v>75531.55</v>
      </c>
      <c r="G281" s="18">
        <f>16370.43+2182.39</f>
        <v>18552.82</v>
      </c>
      <c r="H281" s="18">
        <f>100194.65+2936.37</f>
        <v>103131.01999999999</v>
      </c>
      <c r="I281" s="18">
        <f>3561.67</f>
        <v>3561.67</v>
      </c>
      <c r="J281" s="18"/>
      <c r="K281" s="18"/>
      <c r="L281" s="19">
        <f t="shared" ref="L281:L287" si="12">SUM(F281:K281)</f>
        <v>200777.06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>
        <f>8835.5+17803.04</f>
        <v>26638.54</v>
      </c>
      <c r="I282" s="18"/>
      <c r="J282" s="18"/>
      <c r="K282" s="18"/>
      <c r="L282" s="19">
        <f t="shared" si="12"/>
        <v>26638.54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f>42497.09</f>
        <v>42497.09</v>
      </c>
      <c r="G283" s="18">
        <f>17124.35</f>
        <v>17124.349999999999</v>
      </c>
      <c r="H283" s="18">
        <f>25252.26</f>
        <v>25252.26</v>
      </c>
      <c r="I283" s="18">
        <f>7139.65</f>
        <v>7139.65</v>
      </c>
      <c r="J283" s="18">
        <f>3077.93</f>
        <v>3077.93</v>
      </c>
      <c r="K283" s="18"/>
      <c r="L283" s="19">
        <f t="shared" si="12"/>
        <v>95091.279999999984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>
        <f>8200</f>
        <v>8200</v>
      </c>
      <c r="I286" s="18"/>
      <c r="J286" s="18"/>
      <c r="K286" s="18"/>
      <c r="L286" s="19">
        <f t="shared" si="12"/>
        <v>8200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f>1560.06+1081.42</f>
        <v>2641.48</v>
      </c>
      <c r="I287" s="18"/>
      <c r="J287" s="18"/>
      <c r="K287" s="18"/>
      <c r="L287" s="19">
        <f t="shared" si="12"/>
        <v>2641.48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749163.64</v>
      </c>
      <c r="G290" s="42">
        <f t="shared" si="13"/>
        <v>207511.48</v>
      </c>
      <c r="H290" s="42">
        <f t="shared" si="13"/>
        <v>229684.36000000002</v>
      </c>
      <c r="I290" s="42">
        <f t="shared" si="13"/>
        <v>43457.7</v>
      </c>
      <c r="J290" s="42">
        <f t="shared" si="13"/>
        <v>10295</v>
      </c>
      <c r="K290" s="42">
        <f t="shared" si="13"/>
        <v>18539.77</v>
      </c>
      <c r="L290" s="41">
        <f t="shared" si="13"/>
        <v>1258651.95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f>190+8600</f>
        <v>8790</v>
      </c>
      <c r="G295" s="18">
        <f>39.62+1989.85</f>
        <v>2029.4699999999998</v>
      </c>
      <c r="H295" s="18">
        <f>1597.21</f>
        <v>1597.21</v>
      </c>
      <c r="I295" s="18">
        <f>1527.41</f>
        <v>1527.41</v>
      </c>
      <c r="J295" s="18"/>
      <c r="K295" s="18"/>
      <c r="L295" s="19">
        <f>SUM(F295:K295)</f>
        <v>13944.09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f>27761.83</f>
        <v>27761.83</v>
      </c>
      <c r="G296" s="18">
        <v>12160.31</v>
      </c>
      <c r="H296" s="18">
        <f>5310.04</f>
        <v>5310.04</v>
      </c>
      <c r="I296" s="18"/>
      <c r="J296" s="18"/>
      <c r="K296" s="18"/>
      <c r="L296" s="19">
        <f>SUM(F296:K296)</f>
        <v>45232.18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>
        <f>25933.72</f>
        <v>25933.72</v>
      </c>
      <c r="G298" s="18">
        <f>4668.9</f>
        <v>4668.8999999999996</v>
      </c>
      <c r="H298" s="18">
        <f>473.66</f>
        <v>473.66</v>
      </c>
      <c r="I298" s="18">
        <f>297.56</f>
        <v>297.56</v>
      </c>
      <c r="J298" s="18"/>
      <c r="K298" s="18"/>
      <c r="L298" s="19">
        <f>SUM(F298:K298)</f>
        <v>31373.840000000004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f>10847.09</f>
        <v>10847.09</v>
      </c>
      <c r="G300" s="18">
        <f>3777.79</f>
        <v>3777.79</v>
      </c>
      <c r="H300" s="18">
        <f>56206.75+677.63</f>
        <v>56884.38</v>
      </c>
      <c r="I300" s="18">
        <f>1998.01</f>
        <v>1998.01</v>
      </c>
      <c r="J300" s="18"/>
      <c r="K300" s="18"/>
      <c r="L300" s="19">
        <f t="shared" ref="L300:L306" si="14">SUM(F300:K300)</f>
        <v>73507.26999999999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>
        <f>4956.5+9987.08+9720</f>
        <v>24663.58</v>
      </c>
      <c r="I301" s="18"/>
      <c r="J301" s="18"/>
      <c r="K301" s="18"/>
      <c r="L301" s="19">
        <f t="shared" si="14"/>
        <v>24663.58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>
        <f>23609.5</f>
        <v>23609.5</v>
      </c>
      <c r="G302" s="18">
        <f>9513.53</f>
        <v>9513.5300000000007</v>
      </c>
      <c r="H302" s="18">
        <f>14029.04</f>
        <v>14029.04</v>
      </c>
      <c r="I302" s="18">
        <f>3966.47</f>
        <v>3966.47</v>
      </c>
      <c r="J302" s="18">
        <f>1709.96</f>
        <v>1709.96</v>
      </c>
      <c r="K302" s="18"/>
      <c r="L302" s="19">
        <f t="shared" si="14"/>
        <v>52828.5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>
        <f>4600</f>
        <v>4600</v>
      </c>
      <c r="I305" s="18"/>
      <c r="J305" s="18"/>
      <c r="K305" s="18"/>
      <c r="L305" s="19">
        <f t="shared" si="14"/>
        <v>4600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>
        <f>365.94+253.67</f>
        <v>619.61</v>
      </c>
      <c r="I306" s="18"/>
      <c r="J306" s="18"/>
      <c r="K306" s="18"/>
      <c r="L306" s="19">
        <f t="shared" si="14"/>
        <v>619.61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96942.14</v>
      </c>
      <c r="G309" s="42">
        <f t="shared" si="15"/>
        <v>32150</v>
      </c>
      <c r="H309" s="42">
        <f t="shared" si="15"/>
        <v>108177.52</v>
      </c>
      <c r="I309" s="42">
        <f t="shared" si="15"/>
        <v>7789.45</v>
      </c>
      <c r="J309" s="42">
        <f t="shared" si="15"/>
        <v>1709.96</v>
      </c>
      <c r="K309" s="42">
        <f t="shared" si="15"/>
        <v>0</v>
      </c>
      <c r="L309" s="41">
        <f t="shared" si="15"/>
        <v>246769.07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f>6900</f>
        <v>6900</v>
      </c>
      <c r="G314" s="18">
        <f>1593.41</f>
        <v>1593.41</v>
      </c>
      <c r="H314" s="18"/>
      <c r="I314" s="18">
        <f>7746.3</f>
        <v>7746.3</v>
      </c>
      <c r="J314" s="18">
        <f>1000</f>
        <v>1000</v>
      </c>
      <c r="K314" s="18"/>
      <c r="L314" s="19">
        <f>SUM(F314:K314)</f>
        <v>17239.71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f>33314.2</f>
        <v>33314.199999999997</v>
      </c>
      <c r="G315" s="18">
        <f>14592.37</f>
        <v>14592.37</v>
      </c>
      <c r="H315" s="18">
        <f>50000+6372.05</f>
        <v>56372.05</v>
      </c>
      <c r="I315" s="18"/>
      <c r="J315" s="18"/>
      <c r="K315" s="18"/>
      <c r="L315" s="19">
        <f>SUM(F315:K315)</f>
        <v>104278.62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>
        <f>12095.36</f>
        <v>12095.36</v>
      </c>
      <c r="I316" s="18">
        <f>5074</f>
        <v>5074</v>
      </c>
      <c r="J316" s="18">
        <f>51799.12</f>
        <v>51799.12</v>
      </c>
      <c r="K316" s="18">
        <f>1939.11</f>
        <v>1939.11</v>
      </c>
      <c r="L316" s="19">
        <f>SUM(F316:K316)</f>
        <v>70907.590000000011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>
        <f>948.56</f>
        <v>948.56</v>
      </c>
      <c r="K317" s="18"/>
      <c r="L317" s="19">
        <f>SUM(F317:K317)</f>
        <v>948.56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f>14462.78</f>
        <v>14462.78</v>
      </c>
      <c r="G319" s="18">
        <f>5037.06</f>
        <v>5037.0600000000004</v>
      </c>
      <c r="H319" s="18">
        <f>87975.79+903.5</f>
        <v>88879.29</v>
      </c>
      <c r="I319" s="18">
        <f>3127.32</f>
        <v>3127.32</v>
      </c>
      <c r="J319" s="18"/>
      <c r="K319" s="18"/>
      <c r="L319" s="19">
        <f t="shared" ref="L319:L325" si="16">SUM(F319:K319)</f>
        <v>111506.45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>
        <f>7758+15631.95+30322.45</f>
        <v>53712.4</v>
      </c>
      <c r="I320" s="18"/>
      <c r="J320" s="18"/>
      <c r="K320" s="18"/>
      <c r="L320" s="19">
        <f t="shared" si="16"/>
        <v>53712.4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>
        <f>28331.39</f>
        <v>28331.39</v>
      </c>
      <c r="G321" s="18">
        <f>11416.24</f>
        <v>11416.24</v>
      </c>
      <c r="H321" s="18">
        <f>16834.84</f>
        <v>16834.84</v>
      </c>
      <c r="I321" s="18">
        <f>4759.76</f>
        <v>4759.76</v>
      </c>
      <c r="J321" s="18">
        <f>2051.96</f>
        <v>2051.96</v>
      </c>
      <c r="K321" s="18"/>
      <c r="L321" s="19">
        <f t="shared" si="16"/>
        <v>63394.19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>
        <f>7200</f>
        <v>7200</v>
      </c>
      <c r="I324" s="18"/>
      <c r="J324" s="18"/>
      <c r="K324" s="18"/>
      <c r="L324" s="19">
        <f t="shared" si="16"/>
        <v>7200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83008.37</v>
      </c>
      <c r="G328" s="42">
        <f t="shared" si="17"/>
        <v>32639.08</v>
      </c>
      <c r="H328" s="42">
        <f t="shared" si="17"/>
        <v>235093.94</v>
      </c>
      <c r="I328" s="42">
        <f t="shared" si="17"/>
        <v>20707.379999999997</v>
      </c>
      <c r="J328" s="42">
        <f t="shared" si="17"/>
        <v>55799.64</v>
      </c>
      <c r="K328" s="42">
        <f t="shared" si="17"/>
        <v>1939.11</v>
      </c>
      <c r="L328" s="41">
        <f t="shared" si="17"/>
        <v>429187.52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>
        <f>8250+175+5779.81+2419.96+62915.41</f>
        <v>79540.180000000008</v>
      </c>
      <c r="I333" s="18"/>
      <c r="J333" s="18">
        <v>493.88</v>
      </c>
      <c r="K333" s="18">
        <f>478</f>
        <v>478</v>
      </c>
      <c r="L333" s="19">
        <f t="shared" si="18"/>
        <v>80512.060000000012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79540.180000000008</v>
      </c>
      <c r="I337" s="41">
        <f t="shared" si="19"/>
        <v>0</v>
      </c>
      <c r="J337" s="41">
        <f t="shared" si="19"/>
        <v>493.88</v>
      </c>
      <c r="K337" s="41">
        <f t="shared" si="19"/>
        <v>478</v>
      </c>
      <c r="L337" s="41">
        <f t="shared" si="18"/>
        <v>80512.060000000012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929114.15</v>
      </c>
      <c r="G338" s="41">
        <f t="shared" si="20"/>
        <v>272300.56</v>
      </c>
      <c r="H338" s="41">
        <f t="shared" si="20"/>
        <v>652496.00000000012</v>
      </c>
      <c r="I338" s="41">
        <f t="shared" si="20"/>
        <v>71954.53</v>
      </c>
      <c r="J338" s="41">
        <f t="shared" si="20"/>
        <v>68298.48000000001</v>
      </c>
      <c r="K338" s="41">
        <f t="shared" si="20"/>
        <v>20956.88</v>
      </c>
      <c r="L338" s="41">
        <f t="shared" si="20"/>
        <v>2015120.6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929114.15</v>
      </c>
      <c r="G352" s="41">
        <f>G338</f>
        <v>272300.56</v>
      </c>
      <c r="H352" s="41">
        <f>H338</f>
        <v>652496.00000000012</v>
      </c>
      <c r="I352" s="41">
        <f>I338</f>
        <v>71954.53</v>
      </c>
      <c r="J352" s="41">
        <f>J338</f>
        <v>68298.48000000001</v>
      </c>
      <c r="K352" s="47">
        <f>K338+K351</f>
        <v>20956.88</v>
      </c>
      <c r="L352" s="41">
        <f>L338+L351</f>
        <v>2015120.6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f>105984.29+4763.56</f>
        <v>110747.84999999999</v>
      </c>
      <c r="G358" s="18">
        <f>19021.06+364.22</f>
        <v>19385.280000000002</v>
      </c>
      <c r="H358" s="18">
        <f>377.87</f>
        <v>377.87</v>
      </c>
      <c r="I358" s="18">
        <f>125214.9</f>
        <v>125214.9</v>
      </c>
      <c r="J358" s="18">
        <v>219.66</v>
      </c>
      <c r="K358" s="18">
        <v>791.11</v>
      </c>
      <c r="L358" s="13">
        <f>SUM(F358:K358)</f>
        <v>256736.66999999995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55781.2</v>
      </c>
      <c r="G359" s="18">
        <v>10011.08</v>
      </c>
      <c r="H359" s="18">
        <f>206.92</f>
        <v>206.92</v>
      </c>
      <c r="I359" s="18">
        <v>68570.070000000007</v>
      </c>
      <c r="J359" s="18">
        <v>120.29</v>
      </c>
      <c r="K359" s="18">
        <v>433.23</v>
      </c>
      <c r="L359" s="19">
        <f>SUM(F359:K359)</f>
        <v>135122.79000000004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117140.53</v>
      </c>
      <c r="G360" s="18">
        <v>21023.27</v>
      </c>
      <c r="H360" s="18">
        <f>314.88</f>
        <v>314.88</v>
      </c>
      <c r="I360" s="18">
        <v>104345.75</v>
      </c>
      <c r="J360" s="18">
        <v>183.05</v>
      </c>
      <c r="K360" s="18">
        <v>659.26</v>
      </c>
      <c r="L360" s="19">
        <f>SUM(F360:K360)</f>
        <v>243666.74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283669.57999999996</v>
      </c>
      <c r="G362" s="47">
        <f t="shared" si="22"/>
        <v>50419.630000000005</v>
      </c>
      <c r="H362" s="47">
        <f t="shared" si="22"/>
        <v>899.67</v>
      </c>
      <c r="I362" s="47">
        <f t="shared" si="22"/>
        <v>298130.71999999997</v>
      </c>
      <c r="J362" s="47">
        <f t="shared" si="22"/>
        <v>523</v>
      </c>
      <c r="K362" s="47">
        <f t="shared" si="22"/>
        <v>1883.6000000000001</v>
      </c>
      <c r="L362" s="47">
        <f t="shared" si="22"/>
        <v>635526.19999999995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115125.64</v>
      </c>
      <c r="G367" s="18">
        <v>63045</v>
      </c>
      <c r="H367" s="18">
        <v>95938.04</v>
      </c>
      <c r="I367" s="56">
        <f>SUM(F367:H367)</f>
        <v>274108.68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10089.26</v>
      </c>
      <c r="G368" s="63">
        <v>5525.07</v>
      </c>
      <c r="H368" s="63">
        <v>8407.7099999999991</v>
      </c>
      <c r="I368" s="56">
        <f>SUM(F368:H368)</f>
        <v>24022.04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125214.9</v>
      </c>
      <c r="G369" s="47">
        <f>SUM(G367:G368)</f>
        <v>68570.070000000007</v>
      </c>
      <c r="H369" s="47">
        <f>SUM(H367:H368)</f>
        <v>104345.75</v>
      </c>
      <c r="I369" s="47">
        <f>SUM(I367:I368)</f>
        <v>298130.71999999997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0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0</v>
      </c>
      <c r="H446" s="13">
        <f>SUM(H439:H445)</f>
        <v>0</v>
      </c>
      <c r="I446" s="13">
        <f>SUM(I439:I445)</f>
        <v>0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/>
      <c r="H459" s="18"/>
      <c r="I459" s="56">
        <f t="shared" si="34"/>
        <v>0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0</v>
      </c>
      <c r="H460" s="83">
        <f>SUM(H454:H459)</f>
        <v>0</v>
      </c>
      <c r="I460" s="83">
        <f>SUM(I454:I459)</f>
        <v>0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0</v>
      </c>
      <c r="H461" s="42">
        <f>H452+H460</f>
        <v>0</v>
      </c>
      <c r="I461" s="42">
        <f>I452+I460</f>
        <v>0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/>
      <c r="G465" s="18">
        <v>2650.73</v>
      </c>
      <c r="H465" s="18">
        <v>19156.59</v>
      </c>
      <c r="I465" s="18"/>
      <c r="J465" s="18"/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thickBot="1" x14ac:dyDescent="0.25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thickTop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17437601.440000001</v>
      </c>
      <c r="G468" s="276">
        <v>634461.01</v>
      </c>
      <c r="H468" s="18">
        <v>2024826.1</v>
      </c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17437601.440000001</v>
      </c>
      <c r="G470" s="53">
        <f>SUM(G468:G469)</f>
        <v>634461.01</v>
      </c>
      <c r="H470" s="53">
        <f>SUM(H468:H469)</f>
        <v>2024826.1</v>
      </c>
      <c r="I470" s="53">
        <f>SUM(I468:I469)</f>
        <v>0</v>
      </c>
      <c r="J470" s="53">
        <f>SUM(J468:J469)</f>
        <v>0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17437601.440000001</v>
      </c>
      <c r="G472" s="18">
        <v>635526.19999999995</v>
      </c>
      <c r="H472" s="18">
        <v>2015120.6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17437601.440000001</v>
      </c>
      <c r="G474" s="53">
        <f>SUM(G472:G473)</f>
        <v>635526.19999999995</v>
      </c>
      <c r="H474" s="53">
        <f>SUM(H472:H473)</f>
        <v>2015120.6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0</v>
      </c>
      <c r="G476" s="53">
        <f>(G465+G470)- G474</f>
        <v>1585.5400000000373</v>
      </c>
      <c r="H476" s="53">
        <f>(H465+H470)- H474</f>
        <v>28862.090000000084</v>
      </c>
      <c r="I476" s="53">
        <f>(I465+I470)- I474</f>
        <v>0</v>
      </c>
      <c r="J476" s="53">
        <f>(J465+J470)- J474</f>
        <v>0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10</v>
      </c>
      <c r="G490" s="154">
        <v>29</v>
      </c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 t="s">
        <v>913</v>
      </c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914</v>
      </c>
      <c r="G492" s="155" t="s">
        <v>915</v>
      </c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1713290</v>
      </c>
      <c r="G493" s="18">
        <v>357204.625504</v>
      </c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4.3</v>
      </c>
      <c r="G494" s="18">
        <v>2.85</v>
      </c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394891.96</v>
      </c>
      <c r="G495" s="18">
        <v>247521.33</v>
      </c>
      <c r="H495" s="18"/>
      <c r="I495" s="18"/>
      <c r="J495" s="18"/>
      <c r="K495" s="53">
        <f>SUM(F495:J495)</f>
        <v>642413.29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193214.07</v>
      </c>
      <c r="G497" s="18">
        <v>16932</v>
      </c>
      <c r="H497" s="18"/>
      <c r="I497" s="18"/>
      <c r="J497" s="18"/>
      <c r="K497" s="53">
        <f t="shared" si="35"/>
        <v>210146.07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201677.89</v>
      </c>
      <c r="G498" s="204">
        <v>230589.33</v>
      </c>
      <c r="H498" s="204"/>
      <c r="I498" s="204"/>
      <c r="J498" s="204"/>
      <c r="K498" s="205">
        <f t="shared" si="35"/>
        <v>432267.22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8834.68</v>
      </c>
      <c r="G499" s="18">
        <v>60756.000000000015</v>
      </c>
      <c r="H499" s="18"/>
      <c r="I499" s="18"/>
      <c r="J499" s="18"/>
      <c r="K499" s="53">
        <f t="shared" si="35"/>
        <v>69590.680000000022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210512.57</v>
      </c>
      <c r="G500" s="42">
        <f>SUM(G498:G499)</f>
        <v>291345.33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501857.9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201677.89</v>
      </c>
      <c r="G501" s="204">
        <v>17928</v>
      </c>
      <c r="H501" s="204"/>
      <c r="I501" s="204"/>
      <c r="J501" s="204"/>
      <c r="K501" s="205">
        <f t="shared" si="35"/>
        <v>219605.89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8834.68</v>
      </c>
      <c r="G502" s="18">
        <v>11234.22</v>
      </c>
      <c r="H502" s="18"/>
      <c r="I502" s="18"/>
      <c r="J502" s="18"/>
      <c r="K502" s="53">
        <f t="shared" si="35"/>
        <v>20068.900000000001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210512.57</v>
      </c>
      <c r="G503" s="42">
        <f>SUM(G501:G502)</f>
        <v>29162.22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239674.79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36864.07+13441.5+612757.44+20256.19+49971.29</f>
        <v>733290.48999999987</v>
      </c>
      <c r="G521" s="18">
        <f>1028.44+6251.78+141336.21+1549.61+21888.55</f>
        <v>172054.58999999997</v>
      </c>
      <c r="H521" s="18">
        <f>31140.87+131092.97+40972.28+9558.07</f>
        <v>212764.19</v>
      </c>
      <c r="I521" s="18">
        <f>115.77+1992.32+1028.49</f>
        <v>3136.58</v>
      </c>
      <c r="J521" s="18">
        <f>352.66</f>
        <v>352.66</v>
      </c>
      <c r="K521" s="18"/>
      <c r="L521" s="88">
        <f>SUM(F521:K521)</f>
        <v>1121598.5099999998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f>2247.81+7467.5+413281.89+27761.83</f>
        <v>450759.03</v>
      </c>
      <c r="G522" s="18">
        <f>571.36+381.21+137771.16+12160.31</f>
        <v>150884.04</v>
      </c>
      <c r="H522" s="18">
        <f>17300.48+94488.31+5310.04</f>
        <v>117098.82999999999</v>
      </c>
      <c r="I522" s="18">
        <f>7.06+1520.55</f>
        <v>1527.61</v>
      </c>
      <c r="J522" s="18"/>
      <c r="K522" s="18"/>
      <c r="L522" s="88">
        <f>SUM(F522:K522)</f>
        <v>720269.51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f>5844.3+8961+540828.42+33314.2</f>
        <v>588947.92000000004</v>
      </c>
      <c r="G523" s="18">
        <f>685.63+991.14+149630.21+14592.37</f>
        <v>165899.34999999998</v>
      </c>
      <c r="H523" s="18">
        <f>20760.58+618943.66+6372.05</f>
        <v>646076.29</v>
      </c>
      <c r="I523" s="18">
        <f>18.35+1349.2</f>
        <v>1367.55</v>
      </c>
      <c r="J523" s="18"/>
      <c r="K523" s="18"/>
      <c r="L523" s="88">
        <f>SUM(F523:K523)</f>
        <v>1402291.11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1772997.44</v>
      </c>
      <c r="G524" s="108">
        <f t="shared" ref="G524:L524" si="36">SUM(G521:G523)</f>
        <v>488837.98</v>
      </c>
      <c r="H524" s="108">
        <f t="shared" si="36"/>
        <v>975939.31</v>
      </c>
      <c r="I524" s="108">
        <f t="shared" si="36"/>
        <v>6031.74</v>
      </c>
      <c r="J524" s="108">
        <f t="shared" si="36"/>
        <v>352.66</v>
      </c>
      <c r="K524" s="108">
        <f t="shared" si="36"/>
        <v>0</v>
      </c>
      <c r="L524" s="89">
        <f t="shared" si="36"/>
        <v>3244159.13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f>64848.15+184326.01+18375+47004.05+28527.5</f>
        <v>343080.71</v>
      </c>
      <c r="G526" s="18">
        <f>29972.02+62429.92+1405.71+16370.43+2182.39</f>
        <v>112360.47000000002</v>
      </c>
      <c r="H526" s="18">
        <f>427.05+11581.33+208454.75+9378.11+2655.25+377</f>
        <v>232873.49</v>
      </c>
      <c r="I526" s="18">
        <f>3148.28+623.54</f>
        <v>3771.82</v>
      </c>
      <c r="J526" s="18"/>
      <c r="K526" s="18">
        <f>125</f>
        <v>125</v>
      </c>
      <c r="L526" s="88">
        <f>SUM(F526:K526)</f>
        <v>692211.49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f>33035.85+42536.77+10847.09</f>
        <v>86419.709999999992</v>
      </c>
      <c r="G527" s="18">
        <f>15268.76+14406.91+3777.79</f>
        <v>33453.46</v>
      </c>
      <c r="H527" s="18">
        <f>98.55+2672.61+11329.06+1526.67+292.5</f>
        <v>15919.39</v>
      </c>
      <c r="I527" s="18">
        <f>1603.84+143.9</f>
        <v>1747.74</v>
      </c>
      <c r="J527" s="18"/>
      <c r="K527" s="18"/>
      <c r="L527" s="88">
        <f>SUM(F527:K527)</f>
        <v>137540.29999999999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f>24471+56715.7+14462.78</f>
        <v>95649.48</v>
      </c>
      <c r="G528" s="18">
        <f>11310.2+19209.21+5037.06</f>
        <v>35556.47</v>
      </c>
      <c r="H528" s="18">
        <f>131.4+3563.48+6797.44</f>
        <v>10492.32</v>
      </c>
      <c r="I528" s="18">
        <f>1188.03+191.86</f>
        <v>1379.8899999999999</v>
      </c>
      <c r="J528" s="18"/>
      <c r="K528" s="18"/>
      <c r="L528" s="88">
        <f>SUM(F528:K528)</f>
        <v>143078.16000000003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525149.9</v>
      </c>
      <c r="G529" s="89">
        <f t="shared" ref="G529:L529" si="37">SUM(G526:G528)</f>
        <v>181370.40000000002</v>
      </c>
      <c r="H529" s="89">
        <f t="shared" si="37"/>
        <v>259285.2</v>
      </c>
      <c r="I529" s="89">
        <f t="shared" si="37"/>
        <v>6899.4500000000007</v>
      </c>
      <c r="J529" s="89">
        <f t="shared" si="37"/>
        <v>0</v>
      </c>
      <c r="K529" s="89">
        <f t="shared" si="37"/>
        <v>125</v>
      </c>
      <c r="L529" s="89">
        <f t="shared" si="37"/>
        <v>972829.95000000007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f>46775.72</f>
        <v>46775.72</v>
      </c>
      <c r="G531" s="18">
        <f>10683.98</f>
        <v>10683.98</v>
      </c>
      <c r="H531" s="18">
        <f>3201.88</f>
        <v>3201.88</v>
      </c>
      <c r="I531" s="18">
        <f>1359.39</f>
        <v>1359.39</v>
      </c>
      <c r="J531" s="18">
        <f>138</f>
        <v>138</v>
      </c>
      <c r="K531" s="18">
        <f>112.5</f>
        <v>112.5</v>
      </c>
      <c r="L531" s="88">
        <f>SUM(F531:K531)</f>
        <v>62271.469999999994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f>25986.51</f>
        <v>25986.51</v>
      </c>
      <c r="G532" s="18">
        <f>5935.54</f>
        <v>5935.54</v>
      </c>
      <c r="H532" s="18">
        <f>1778.82</f>
        <v>1778.82</v>
      </c>
      <c r="I532" s="18">
        <f>82.89</f>
        <v>82.89</v>
      </c>
      <c r="J532" s="18">
        <f>76.67</f>
        <v>76.67</v>
      </c>
      <c r="K532" s="18">
        <f>62.5</f>
        <v>62.5</v>
      </c>
      <c r="L532" s="88">
        <f>SUM(F532:K532)</f>
        <v>33922.93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f>31183.82</f>
        <v>31183.82</v>
      </c>
      <c r="G533" s="18">
        <f>7122.65</f>
        <v>7122.65</v>
      </c>
      <c r="H533" s="18">
        <f>2134.58</f>
        <v>2134.58</v>
      </c>
      <c r="I533" s="18">
        <f>215.51</f>
        <v>215.51</v>
      </c>
      <c r="J533" s="18">
        <f>92</f>
        <v>92</v>
      </c>
      <c r="K533" s="18">
        <f>75</f>
        <v>75</v>
      </c>
      <c r="L533" s="88">
        <f>SUM(F533:K533)</f>
        <v>40823.560000000005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103946.04999999999</v>
      </c>
      <c r="G534" s="89">
        <f t="shared" ref="G534:L534" si="38">SUM(G531:G533)</f>
        <v>23742.17</v>
      </c>
      <c r="H534" s="89">
        <f t="shared" si="38"/>
        <v>7115.28</v>
      </c>
      <c r="I534" s="89">
        <f t="shared" si="38"/>
        <v>1657.7900000000002</v>
      </c>
      <c r="J534" s="89">
        <f t="shared" si="38"/>
        <v>306.67</v>
      </c>
      <c r="K534" s="89">
        <f t="shared" si="38"/>
        <v>250</v>
      </c>
      <c r="L534" s="89">
        <f t="shared" si="38"/>
        <v>137017.96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>
        <f>1793.09+3288.05</f>
        <v>5081.1400000000003</v>
      </c>
      <c r="G541" s="18">
        <f>137.17+251.52</f>
        <v>388.69</v>
      </c>
      <c r="H541" s="18"/>
      <c r="I541" s="18"/>
      <c r="J541" s="18"/>
      <c r="K541" s="18"/>
      <c r="L541" s="88">
        <f>SUM(F541:K541)</f>
        <v>5469.83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>
        <f>109.33+113.62</f>
        <v>222.95</v>
      </c>
      <c r="G542" s="18">
        <f>8.36+8.67</f>
        <v>17.03</v>
      </c>
      <c r="H542" s="18"/>
      <c r="I542" s="18"/>
      <c r="J542" s="18"/>
      <c r="K542" s="18"/>
      <c r="L542" s="88">
        <f>SUM(F542:K542)</f>
        <v>239.98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>
        <f>284.27+556.38</f>
        <v>840.65</v>
      </c>
      <c r="G543" s="18">
        <f>21.75+42.47</f>
        <v>64.22</v>
      </c>
      <c r="H543" s="18">
        <f>2047.5</f>
        <v>2047.5</v>
      </c>
      <c r="I543" s="18"/>
      <c r="J543" s="18"/>
      <c r="K543" s="18"/>
      <c r="L543" s="88">
        <f>SUM(F543:K543)</f>
        <v>2952.37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6144.74</v>
      </c>
      <c r="G544" s="193">
        <f t="shared" ref="G544:L544" si="40">SUM(G541:G543)</f>
        <v>469.94000000000005</v>
      </c>
      <c r="H544" s="193">
        <f t="shared" si="40"/>
        <v>2047.5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8662.18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2408238.13</v>
      </c>
      <c r="G545" s="89">
        <f t="shared" ref="G545:L545" si="41">G524+G529+G534+G539+G544</f>
        <v>694420.49</v>
      </c>
      <c r="H545" s="89">
        <f t="shared" si="41"/>
        <v>1244387.29</v>
      </c>
      <c r="I545" s="89">
        <f t="shared" si="41"/>
        <v>14588.980000000001</v>
      </c>
      <c r="J545" s="89">
        <f t="shared" si="41"/>
        <v>659.33</v>
      </c>
      <c r="K545" s="89">
        <f t="shared" si="41"/>
        <v>375</v>
      </c>
      <c r="L545" s="89">
        <f t="shared" si="41"/>
        <v>4362669.22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1121598.5099999998</v>
      </c>
      <c r="G549" s="87">
        <f>L526</f>
        <v>692211.49</v>
      </c>
      <c r="H549" s="87">
        <f>L531</f>
        <v>62271.469999999994</v>
      </c>
      <c r="I549" s="87">
        <f>L536</f>
        <v>0</v>
      </c>
      <c r="J549" s="87">
        <f>L541</f>
        <v>5469.83</v>
      </c>
      <c r="K549" s="87">
        <f>SUM(F549:J549)</f>
        <v>1881551.2999999998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720269.51</v>
      </c>
      <c r="G550" s="87">
        <f>L527</f>
        <v>137540.29999999999</v>
      </c>
      <c r="H550" s="87">
        <f>L532</f>
        <v>33922.93</v>
      </c>
      <c r="I550" s="87">
        <f>L537</f>
        <v>0</v>
      </c>
      <c r="J550" s="87">
        <f>L542</f>
        <v>239.98</v>
      </c>
      <c r="K550" s="87">
        <f>SUM(F550:J550)</f>
        <v>891972.72000000009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1402291.11</v>
      </c>
      <c r="G551" s="87">
        <f>L528</f>
        <v>143078.16000000003</v>
      </c>
      <c r="H551" s="87">
        <f>L533</f>
        <v>40823.560000000005</v>
      </c>
      <c r="I551" s="87">
        <f>L538</f>
        <v>0</v>
      </c>
      <c r="J551" s="87">
        <f>L543</f>
        <v>2952.37</v>
      </c>
      <c r="K551" s="87">
        <f>SUM(F551:J551)</f>
        <v>1589145.2000000002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3244159.13</v>
      </c>
      <c r="G552" s="89">
        <f t="shared" si="42"/>
        <v>972829.95000000007</v>
      </c>
      <c r="H552" s="89">
        <f t="shared" si="42"/>
        <v>137017.96</v>
      </c>
      <c r="I552" s="89">
        <f t="shared" si="42"/>
        <v>0</v>
      </c>
      <c r="J552" s="89">
        <f t="shared" si="42"/>
        <v>8662.18</v>
      </c>
      <c r="K552" s="89">
        <f t="shared" si="42"/>
        <v>4362669.2200000007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>
        <f>421482.1</f>
        <v>421482.1</v>
      </c>
      <c r="G557" s="18">
        <f>115926.45</f>
        <v>115926.45</v>
      </c>
      <c r="H557" s="18">
        <f>10710+18850</f>
        <v>29560</v>
      </c>
      <c r="I557" s="18">
        <f>3341.94</f>
        <v>3341.94</v>
      </c>
      <c r="J557" s="18"/>
      <c r="K557" s="18"/>
      <c r="L557" s="88">
        <f>SUM(F557:K557)</f>
        <v>570310.48999999987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>
        <f>40036</f>
        <v>40036</v>
      </c>
      <c r="I559" s="18"/>
      <c r="J559" s="18"/>
      <c r="K559" s="18"/>
      <c r="L559" s="88">
        <f>SUM(F559:K559)</f>
        <v>40036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421482.1</v>
      </c>
      <c r="G560" s="108">
        <f t="shared" si="43"/>
        <v>115926.45</v>
      </c>
      <c r="H560" s="108">
        <f t="shared" si="43"/>
        <v>69596</v>
      </c>
      <c r="I560" s="108">
        <f t="shared" si="43"/>
        <v>3341.94</v>
      </c>
      <c r="J560" s="108">
        <f t="shared" si="43"/>
        <v>0</v>
      </c>
      <c r="K560" s="108">
        <f t="shared" si="43"/>
        <v>0</v>
      </c>
      <c r="L560" s="89">
        <f t="shared" si="43"/>
        <v>610346.48999999987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f>19309</f>
        <v>19309</v>
      </c>
      <c r="G562" s="18">
        <v>1477.06</v>
      </c>
      <c r="H562" s="18"/>
      <c r="I562" s="18"/>
      <c r="J562" s="18"/>
      <c r="K562" s="18"/>
      <c r="L562" s="88">
        <f>SUM(F562:K562)</f>
        <v>20786.060000000001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19309</v>
      </c>
      <c r="G565" s="89">
        <f t="shared" si="44"/>
        <v>1477.06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20786.060000000001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440791.1</v>
      </c>
      <c r="G571" s="89">
        <f t="shared" ref="G571:L571" si="46">G560+G565+G570</f>
        <v>117403.51</v>
      </c>
      <c r="H571" s="89">
        <f t="shared" si="46"/>
        <v>69596</v>
      </c>
      <c r="I571" s="89">
        <f t="shared" si="46"/>
        <v>3341.94</v>
      </c>
      <c r="J571" s="89">
        <f t="shared" si="46"/>
        <v>0</v>
      </c>
      <c r="K571" s="89">
        <f t="shared" si="46"/>
        <v>0</v>
      </c>
      <c r="L571" s="89">
        <f t="shared" si="46"/>
        <v>631132.54999999993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>
        <f>7580.05</f>
        <v>7580.05</v>
      </c>
      <c r="G575" s="18"/>
      <c r="H575" s="18">
        <f>2903.7</f>
        <v>2903.7</v>
      </c>
      <c r="I575" s="87">
        <f>SUM(F575:H575)</f>
        <v>10483.75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>
        <f>387.46+20147.92</f>
        <v>20535.379999999997</v>
      </c>
      <c r="G578" s="18">
        <f>2905.95</f>
        <v>2905.95</v>
      </c>
      <c r="H578" s="18">
        <f>5400</f>
        <v>5400</v>
      </c>
      <c r="I578" s="87">
        <f t="shared" si="47"/>
        <v>28841.329999999998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f>28627.25</f>
        <v>28627.25</v>
      </c>
      <c r="G579" s="18"/>
      <c r="H579" s="18">
        <f>26501.17</f>
        <v>26501.17</v>
      </c>
      <c r="I579" s="87">
        <f t="shared" si="47"/>
        <v>55128.42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>
        <f>11518</f>
        <v>11518</v>
      </c>
      <c r="I581" s="87">
        <f t="shared" si="47"/>
        <v>11518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f>6380.13+96085.59+40972.28</f>
        <v>143438</v>
      </c>
      <c r="G582" s="18">
        <f>10349.11+84139.2</f>
        <v>94488.31</v>
      </c>
      <c r="H582" s="18">
        <f>49241.82+531482.68</f>
        <v>580724.5</v>
      </c>
      <c r="I582" s="87">
        <f t="shared" si="47"/>
        <v>818650.81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f>214520.06+4299.12+30.1</f>
        <v>218849.28</v>
      </c>
      <c r="I591" s="18">
        <f>78316.84+1569.52+12.37</f>
        <v>79898.73</v>
      </c>
      <c r="J591" s="18">
        <f>47671.12+955.36+13.3</f>
        <v>48639.780000000006</v>
      </c>
      <c r="K591" s="104">
        <f t="shared" ref="K591:K597" si="48">SUM(H591:J591)</f>
        <v>347387.79000000004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f>1930.25+3539.57</f>
        <v>5469.82</v>
      </c>
      <c r="I592" s="18">
        <f>117.7+122.29</f>
        <v>239.99</v>
      </c>
      <c r="J592" s="18">
        <f>306.02+2646.35</f>
        <v>2952.37</v>
      </c>
      <c r="K592" s="104">
        <f t="shared" si="48"/>
        <v>8662.18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141.52000000000001</v>
      </c>
      <c r="I594" s="18">
        <f>4781.57</f>
        <v>4781.57</v>
      </c>
      <c r="J594" s="18">
        <f>20451.25</f>
        <v>20451.25</v>
      </c>
      <c r="K594" s="104">
        <f t="shared" si="48"/>
        <v>25374.34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f>2106.56</f>
        <v>2106.56</v>
      </c>
      <c r="I595" s="18">
        <f>3050.65</f>
        <v>3050.65</v>
      </c>
      <c r="J595" s="18">
        <f>3869.58</f>
        <v>3869.58</v>
      </c>
      <c r="K595" s="104">
        <f t="shared" si="48"/>
        <v>9026.7900000000009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>
        <f>3835.27</f>
        <v>3835.27</v>
      </c>
      <c r="I597" s="18">
        <v>899.63</v>
      </c>
      <c r="J597" s="18"/>
      <c r="K597" s="104">
        <f t="shared" si="48"/>
        <v>4734.8999999999996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230402.44999999998</v>
      </c>
      <c r="I598" s="108">
        <f>SUM(I591:I597)</f>
        <v>88870.57</v>
      </c>
      <c r="J598" s="108">
        <f>SUM(J591:J597)</f>
        <v>75912.98000000001</v>
      </c>
      <c r="K598" s="108">
        <f>SUM(K591:K597)</f>
        <v>395186.00000000006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208274.86</v>
      </c>
      <c r="I604" s="18">
        <v>129125.12</v>
      </c>
      <c r="J604" s="18">
        <f>194566.5+493.88</f>
        <v>195060.38</v>
      </c>
      <c r="K604" s="104">
        <f>SUM(H604:J604)</f>
        <v>532460.36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208274.86</v>
      </c>
      <c r="I605" s="108">
        <f>SUM(I602:I604)</f>
        <v>129125.12</v>
      </c>
      <c r="J605" s="108">
        <f>SUM(J602:J604)</f>
        <v>195060.38</v>
      </c>
      <c r="K605" s="108">
        <f>SUM(K602:K604)</f>
        <v>532460.36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0</v>
      </c>
      <c r="H617" s="109">
        <f>SUM(F52)</f>
        <v>0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1585.54</v>
      </c>
      <c r="H618" s="109">
        <f>SUM(G52)</f>
        <v>1585.54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28862.09</v>
      </c>
      <c r="H619" s="109">
        <f>SUM(H52)</f>
        <v>28862.09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0</v>
      </c>
      <c r="H621" s="109">
        <f>SUM(J52)</f>
        <v>0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0</v>
      </c>
      <c r="H622" s="109">
        <f>F476</f>
        <v>0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1585.54</v>
      </c>
      <c r="H623" s="109">
        <f>G476</f>
        <v>1585.5400000000373</v>
      </c>
      <c r="I623" s="121" t="s">
        <v>102</v>
      </c>
      <c r="J623" s="109">
        <f t="shared" si="50"/>
        <v>-3.7289282772690058E-11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28862.09</v>
      </c>
      <c r="H624" s="109">
        <f>H476</f>
        <v>28862.090000000084</v>
      </c>
      <c r="I624" s="121" t="s">
        <v>103</v>
      </c>
      <c r="J624" s="109">
        <f t="shared" si="50"/>
        <v>-8.3673512563109398E-11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0</v>
      </c>
      <c r="H626" s="109">
        <f>J476</f>
        <v>0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17437601.440000001</v>
      </c>
      <c r="H627" s="104">
        <f>SUM(F468)</f>
        <v>17437601.440000001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634461.01</v>
      </c>
      <c r="H628" s="104">
        <f>SUM(G468)</f>
        <v>634461.01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2024826.1</v>
      </c>
      <c r="H629" s="104">
        <f>SUM(H468)</f>
        <v>2024826.1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0</v>
      </c>
      <c r="H631" s="104">
        <f>SUM(J468)</f>
        <v>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17437601.440000001</v>
      </c>
      <c r="H632" s="104">
        <f>SUM(F472)</f>
        <v>17437601.440000001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2015120.6</v>
      </c>
      <c r="H633" s="104">
        <f>SUM(H472)</f>
        <v>2015120.6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298130.71999999997</v>
      </c>
      <c r="H634" s="104">
        <f>I369</f>
        <v>298130.71999999997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635526.19999999995</v>
      </c>
      <c r="H635" s="104">
        <f>SUM(G472)</f>
        <v>635526.19999999995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0</v>
      </c>
      <c r="H637" s="164">
        <f>SUM(J468)</f>
        <v>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0</v>
      </c>
      <c r="H642" s="104">
        <f>SUM(I461)</f>
        <v>0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0</v>
      </c>
      <c r="H644" s="104">
        <f>H408</f>
        <v>0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0</v>
      </c>
      <c r="H646" s="104">
        <f>L408</f>
        <v>0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395186.00000000006</v>
      </c>
      <c r="H647" s="104">
        <f>L208+L226+L244</f>
        <v>395185.99999999994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532460.36</v>
      </c>
      <c r="H648" s="104">
        <f>(J257+J338)-(J255+J336)</f>
        <v>532460.36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230402.44999999998</v>
      </c>
      <c r="H649" s="104">
        <f>H598</f>
        <v>230402.44999999998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88870.569999999992</v>
      </c>
      <c r="H650" s="104">
        <f>I598</f>
        <v>88870.57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75912.98</v>
      </c>
      <c r="H651" s="104">
        <f>J598</f>
        <v>75912.98000000001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7941181.4400000004</v>
      </c>
      <c r="G660" s="19">
        <f>(L229+L309+L359)</f>
        <v>4212956.63</v>
      </c>
      <c r="H660" s="19">
        <f>(L247+L328+L360)</f>
        <v>7853598.1100000031</v>
      </c>
      <c r="I660" s="19">
        <f>SUM(F660:H660)</f>
        <v>20007736.180000003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89594.729649555899</v>
      </c>
      <c r="G661" s="19">
        <f>(L359/IF(SUM(L358:L360)=0,1,SUM(L358:L360))*(SUM(G97:G110)))</f>
        <v>47154.50208006407</v>
      </c>
      <c r="H661" s="19">
        <f>(L360/IF(SUM(L358:L360)=0,1,SUM(L358:L360))*(SUM(G97:G110)))</f>
        <v>85033.648270380058</v>
      </c>
      <c r="I661" s="19">
        <f>SUM(F661:H661)</f>
        <v>221782.88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182141.82</v>
      </c>
      <c r="G662" s="19">
        <f>(L226+L306)-(J226+J306)</f>
        <v>70906.87</v>
      </c>
      <c r="H662" s="19">
        <f>(L244+L325)-(J244+J325)</f>
        <v>64601.399999999994</v>
      </c>
      <c r="I662" s="19">
        <f>SUM(F662:H662)</f>
        <v>317650.08999999997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408455.54</v>
      </c>
      <c r="G663" s="199">
        <f>SUM(G575:G587)+SUM(I602:I604)+L612</f>
        <v>226519.38</v>
      </c>
      <c r="H663" s="199">
        <f>SUM(H575:H587)+SUM(J602:J604)+L613</f>
        <v>822107.75</v>
      </c>
      <c r="I663" s="19">
        <f>SUM(F663:H663)</f>
        <v>1457082.67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7260989.3503504442</v>
      </c>
      <c r="G664" s="19">
        <f>G660-SUM(G661:G663)</f>
        <v>3868375.8779199356</v>
      </c>
      <c r="H664" s="19">
        <f>H660-SUM(H661:H663)</f>
        <v>6881855.311729623</v>
      </c>
      <c r="I664" s="19">
        <f>I660-SUM(I661:I663)</f>
        <v>18011220.540000003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473.99</v>
      </c>
      <c r="G665" s="248">
        <v>268.8</v>
      </c>
      <c r="H665" s="248">
        <v>429.81</v>
      </c>
      <c r="I665" s="19">
        <f>SUM(F665:H665)</f>
        <v>1172.5999999999999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15318.87</v>
      </c>
      <c r="G667" s="19">
        <f>ROUND(G664/G665,2)</f>
        <v>14391.28</v>
      </c>
      <c r="H667" s="19">
        <f>ROUND(H664/H665,2)</f>
        <v>16011.39</v>
      </c>
      <c r="I667" s="19">
        <f>ROUND(I664/I665,2)</f>
        <v>15360.07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8.4</v>
      </c>
      <c r="I670" s="19">
        <f>SUM(F670:H670)</f>
        <v>8.4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15318.87</v>
      </c>
      <c r="G672" s="19">
        <f>ROUND((G664+G669)/(G665+G670),2)</f>
        <v>14391.28</v>
      </c>
      <c r="H672" s="19">
        <f>ROUND((H664+H669)/(H665+H670),2)</f>
        <v>15704.47</v>
      </c>
      <c r="I672" s="19">
        <f>ROUND((I664+I669)/(I665+I670),2)</f>
        <v>15250.82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C11" sqref="C1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Berlin</v>
      </c>
      <c r="C1" s="238" t="s">
        <v>839</v>
      </c>
    </row>
    <row r="2" spans="1:3" x14ac:dyDescent="0.2">
      <c r="A2" s="233"/>
      <c r="B2" s="232"/>
    </row>
    <row r="3" spans="1:3" x14ac:dyDescent="0.2">
      <c r="A3" s="285" t="s">
        <v>784</v>
      </c>
      <c r="B3" s="285"/>
      <c r="C3" s="285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84" t="s">
        <v>783</v>
      </c>
      <c r="C6" s="284"/>
    </row>
    <row r="7" spans="1:3" x14ac:dyDescent="0.2">
      <c r="A7" s="239" t="s">
        <v>786</v>
      </c>
      <c r="B7" s="282" t="s">
        <v>782</v>
      </c>
      <c r="C7" s="283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4831812.59</v>
      </c>
      <c r="C9" s="229">
        <f>'DOE25'!G197+'DOE25'!G215+'DOE25'!G233+'DOE25'!G276+'DOE25'!G295+'DOE25'!G314</f>
        <v>2037779.06</v>
      </c>
    </row>
    <row r="10" spans="1:3" x14ac:dyDescent="0.2">
      <c r="A10" t="s">
        <v>779</v>
      </c>
      <c r="B10" s="240">
        <v>4620743.62</v>
      </c>
      <c r="C10" s="240">
        <f>2036770.88+0.01</f>
        <v>2036770.89</v>
      </c>
    </row>
    <row r="11" spans="1:3" x14ac:dyDescent="0.2">
      <c r="A11" t="s">
        <v>780</v>
      </c>
      <c r="B11" s="240">
        <v>140389.29</v>
      </c>
      <c r="C11" s="240">
        <v>670.57</v>
      </c>
    </row>
    <row r="12" spans="1:3" x14ac:dyDescent="0.2">
      <c r="A12" t="s">
        <v>781</v>
      </c>
      <c r="B12" s="240">
        <v>70679.679999999993</v>
      </c>
      <c r="C12" s="240">
        <v>337.6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4831812.59</v>
      </c>
      <c r="C13" s="231">
        <f>SUM(C10:C12)</f>
        <v>2037779.06</v>
      </c>
    </row>
    <row r="14" spans="1:3" x14ac:dyDescent="0.2">
      <c r="B14" s="230"/>
      <c r="C14" s="230"/>
    </row>
    <row r="15" spans="1:3" x14ac:dyDescent="0.2">
      <c r="B15" s="284" t="s">
        <v>783</v>
      </c>
      <c r="C15" s="284"/>
    </row>
    <row r="16" spans="1:3" x14ac:dyDescent="0.2">
      <c r="A16" s="239" t="s">
        <v>787</v>
      </c>
      <c r="B16" s="282" t="s">
        <v>707</v>
      </c>
      <c r="C16" s="283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2217601.0400000005</v>
      </c>
      <c r="C18" s="229">
        <f>'DOE25'!G198+'DOE25'!G216+'DOE25'!G234+'DOE25'!G277+'DOE25'!G296+'DOE25'!G315</f>
        <v>606909.18000000005</v>
      </c>
    </row>
    <row r="19" spans="1:3" x14ac:dyDescent="0.2">
      <c r="A19" t="s">
        <v>779</v>
      </c>
      <c r="B19" s="240">
        <f>1053638.86+21121.5</f>
        <v>1074760.3600000001</v>
      </c>
      <c r="C19" s="240">
        <v>513785.07</v>
      </c>
    </row>
    <row r="20" spans="1:3" x14ac:dyDescent="0.2">
      <c r="A20" t="s">
        <v>780</v>
      </c>
      <c r="B20" s="240">
        <v>1112970.68</v>
      </c>
      <c r="C20" s="240">
        <f>86894.74+1615.72</f>
        <v>88510.46</v>
      </c>
    </row>
    <row r="21" spans="1:3" x14ac:dyDescent="0.2">
      <c r="A21" t="s">
        <v>781</v>
      </c>
      <c r="B21" s="240">
        <v>29870</v>
      </c>
      <c r="C21" s="240">
        <v>4613.6499999999996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2217601.04</v>
      </c>
      <c r="C22" s="231">
        <f>SUM(C19:C21)</f>
        <v>606909.18000000005</v>
      </c>
    </row>
    <row r="23" spans="1:3" x14ac:dyDescent="0.2">
      <c r="B23" s="230"/>
      <c r="C23" s="230"/>
    </row>
    <row r="24" spans="1:3" x14ac:dyDescent="0.2">
      <c r="B24" s="284" t="s">
        <v>783</v>
      </c>
      <c r="C24" s="284"/>
    </row>
    <row r="25" spans="1:3" x14ac:dyDescent="0.2">
      <c r="A25" s="239" t="s">
        <v>788</v>
      </c>
      <c r="B25" s="282" t="s">
        <v>708</v>
      </c>
      <c r="C25" s="283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454721.58</v>
      </c>
      <c r="C27" s="234">
        <f>'DOE25'!G199+'DOE25'!G217+'DOE25'!G235+'DOE25'!G278+'DOE25'!G297+'DOE25'!G316</f>
        <v>204293.61000000002</v>
      </c>
    </row>
    <row r="28" spans="1:3" x14ac:dyDescent="0.2">
      <c r="A28" t="s">
        <v>779</v>
      </c>
      <c r="B28" s="240">
        <v>434927</v>
      </c>
      <c r="C28" s="240">
        <v>202773.05</v>
      </c>
    </row>
    <row r="29" spans="1:3" x14ac:dyDescent="0.2">
      <c r="A29" t="s">
        <v>780</v>
      </c>
      <c r="B29" s="240">
        <v>19794.580000000002</v>
      </c>
      <c r="C29" s="240">
        <v>1520.56</v>
      </c>
    </row>
    <row r="30" spans="1:3" x14ac:dyDescent="0.2">
      <c r="A30" t="s">
        <v>781</v>
      </c>
      <c r="B30" s="240">
        <v>0</v>
      </c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454721.58</v>
      </c>
      <c r="C31" s="231">
        <f>SUM(C28:C30)</f>
        <v>204293.61</v>
      </c>
    </row>
    <row r="33" spans="1:3" x14ac:dyDescent="0.2">
      <c r="B33" s="284" t="s">
        <v>783</v>
      </c>
      <c r="C33" s="284"/>
    </row>
    <row r="34" spans="1:3" x14ac:dyDescent="0.2">
      <c r="A34" s="239" t="s">
        <v>789</v>
      </c>
      <c r="B34" s="282" t="s">
        <v>709</v>
      </c>
      <c r="C34" s="283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340307.38</v>
      </c>
      <c r="C36" s="235">
        <f>'DOE25'!G200+'DOE25'!G218+'DOE25'!G236+'DOE25'!G279+'DOE25'!G298+'DOE25'!G317</f>
        <v>58626.13</v>
      </c>
    </row>
    <row r="37" spans="1:3" x14ac:dyDescent="0.2">
      <c r="A37" t="s">
        <v>779</v>
      </c>
      <c r="B37" s="240">
        <v>37224.46</v>
      </c>
      <c r="C37" s="240">
        <v>7556.36</v>
      </c>
    </row>
    <row r="38" spans="1:3" x14ac:dyDescent="0.2">
      <c r="A38" t="s">
        <v>780</v>
      </c>
      <c r="B38" s="240">
        <v>21381.64</v>
      </c>
      <c r="C38" s="240">
        <v>1625.92</v>
      </c>
    </row>
    <row r="39" spans="1:3" x14ac:dyDescent="0.2">
      <c r="A39" t="s">
        <v>781</v>
      </c>
      <c r="B39" s="240">
        <v>281701.28000000003</v>
      </c>
      <c r="C39" s="240">
        <v>49443.85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340307.38</v>
      </c>
      <c r="C40" s="231">
        <f>SUM(C37:C39)</f>
        <v>58626.13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M27" sqref="M27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84" t="s">
        <v>790</v>
      </c>
      <c r="B1" s="289"/>
      <c r="C1" s="289"/>
      <c r="D1" s="289"/>
      <c r="E1" s="289"/>
      <c r="F1" s="289"/>
      <c r="G1" s="289"/>
      <c r="H1" s="289"/>
      <c r="I1" s="181"/>
    </row>
    <row r="2" spans="1:9" x14ac:dyDescent="0.2">
      <c r="A2" s="33" t="s">
        <v>717</v>
      </c>
      <c r="B2" s="265" t="str">
        <f>'DOE25'!A2</f>
        <v>Berlin</v>
      </c>
      <c r="C2" s="181"/>
      <c r="D2" s="181" t="s">
        <v>792</v>
      </c>
      <c r="E2" s="181" t="s">
        <v>794</v>
      </c>
      <c r="F2" s="286" t="s">
        <v>821</v>
      </c>
      <c r="G2" s="287"/>
      <c r="H2" s="288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11628784.760000002</v>
      </c>
      <c r="D5" s="20">
        <f>SUM('DOE25'!L197:L200)+SUM('DOE25'!L215:L218)+SUM('DOE25'!L233:L236)-F5-G5</f>
        <v>11262946.360000001</v>
      </c>
      <c r="E5" s="243"/>
      <c r="F5" s="255">
        <f>SUM('DOE25'!J197:J200)+SUM('DOE25'!J215:J218)+SUM('DOE25'!J233:J236)</f>
        <v>336625.81</v>
      </c>
      <c r="G5" s="53">
        <f>SUM('DOE25'!K197:K200)+SUM('DOE25'!K215:K218)+SUM('DOE25'!K233:K236)</f>
        <v>29212.589999999997</v>
      </c>
      <c r="H5" s="259"/>
    </row>
    <row r="6" spans="1:9" x14ac:dyDescent="0.2">
      <c r="A6" s="32">
        <v>2100</v>
      </c>
      <c r="B6" t="s">
        <v>801</v>
      </c>
      <c r="C6" s="245">
        <f t="shared" si="0"/>
        <v>1603270.7100000002</v>
      </c>
      <c r="D6" s="20">
        <f>'DOE25'!L202+'DOE25'!L220+'DOE25'!L238-F6-G6</f>
        <v>1591284.3100000003</v>
      </c>
      <c r="E6" s="243"/>
      <c r="F6" s="255">
        <f>'DOE25'!J202+'DOE25'!J220+'DOE25'!J238</f>
        <v>10322.450000000001</v>
      </c>
      <c r="G6" s="53">
        <f>'DOE25'!K202+'DOE25'!K220+'DOE25'!K238</f>
        <v>1663.95</v>
      </c>
      <c r="H6" s="259"/>
    </row>
    <row r="7" spans="1:9" x14ac:dyDescent="0.2">
      <c r="A7" s="32">
        <v>2200</v>
      </c>
      <c r="B7" t="s">
        <v>834</v>
      </c>
      <c r="C7" s="245">
        <f t="shared" si="0"/>
        <v>301881.78999999998</v>
      </c>
      <c r="D7" s="20">
        <f>'DOE25'!L203+'DOE25'!L221+'DOE25'!L239-F7-G7</f>
        <v>301591.78999999998</v>
      </c>
      <c r="E7" s="243"/>
      <c r="F7" s="255">
        <f>'DOE25'!J203+'DOE25'!J221+'DOE25'!J239</f>
        <v>0</v>
      </c>
      <c r="G7" s="53">
        <f>'DOE25'!K203+'DOE25'!K221+'DOE25'!K239</f>
        <v>290</v>
      </c>
      <c r="H7" s="259"/>
    </row>
    <row r="8" spans="1:9" x14ac:dyDescent="0.2">
      <c r="A8" s="32">
        <v>2300</v>
      </c>
      <c r="B8" t="s">
        <v>802</v>
      </c>
      <c r="C8" s="245">
        <f t="shared" si="0"/>
        <v>395792.87545719708</v>
      </c>
      <c r="D8" s="243"/>
      <c r="E8" s="20">
        <f>'DOE25'!L204+'DOE25'!L222+'DOE25'!L240-F8-G8-D9-D11</f>
        <v>367790.65545719705</v>
      </c>
      <c r="F8" s="255">
        <f>'DOE25'!J204+'DOE25'!J222+'DOE25'!J240</f>
        <v>3373.45</v>
      </c>
      <c r="G8" s="53">
        <f>'DOE25'!K204+'DOE25'!K222+'DOE25'!K240</f>
        <v>24628.769999999997</v>
      </c>
      <c r="H8" s="259"/>
    </row>
    <row r="9" spans="1:9" x14ac:dyDescent="0.2">
      <c r="A9" s="32">
        <v>2310</v>
      </c>
      <c r="B9" t="s">
        <v>818</v>
      </c>
      <c r="C9" s="245">
        <f t="shared" si="0"/>
        <v>21537.960000000003</v>
      </c>
      <c r="D9" s="244">
        <v>21537.960000000003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0</v>
      </c>
      <c r="D10" s="243"/>
      <c r="E10" s="244">
        <v>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228685.17454280303</v>
      </c>
      <c r="D11" s="244">
        <v>228685.17454280303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840384.13</v>
      </c>
      <c r="D12" s="20">
        <f>'DOE25'!L205+'DOE25'!L223+'DOE25'!L241-F12-G12</f>
        <v>822548.06</v>
      </c>
      <c r="E12" s="243"/>
      <c r="F12" s="255">
        <f>'DOE25'!J205+'DOE25'!J223+'DOE25'!J241</f>
        <v>10017.08</v>
      </c>
      <c r="G12" s="53">
        <f>'DOE25'!K205+'DOE25'!K223+'DOE25'!K241</f>
        <v>7818.99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253016.19</v>
      </c>
      <c r="D13" s="243"/>
      <c r="E13" s="20">
        <f>'DOE25'!L206+'DOE25'!L224+'DOE25'!L242-F13-G13</f>
        <v>250192.8</v>
      </c>
      <c r="F13" s="255">
        <f>'DOE25'!J206+'DOE25'!J224+'DOE25'!J242</f>
        <v>0</v>
      </c>
      <c r="G13" s="53">
        <f>'DOE25'!K206+'DOE25'!K224+'DOE25'!K242</f>
        <v>2823.39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1763829.5900000003</v>
      </c>
      <c r="D14" s="20">
        <f>'DOE25'!L207+'DOE25'!L225+'DOE25'!L243-F14-G14</f>
        <v>1740803.5000000002</v>
      </c>
      <c r="E14" s="243"/>
      <c r="F14" s="255">
        <f>'DOE25'!J207+'DOE25'!J225+'DOE25'!J243</f>
        <v>23026.09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395185.99999999994</v>
      </c>
      <c r="D15" s="20">
        <f>'DOE25'!L208+'DOE25'!L226+'DOE25'!L244-F15-G15</f>
        <v>314109.99999999994</v>
      </c>
      <c r="E15" s="243"/>
      <c r="F15" s="255">
        <f>'DOE25'!J208+'DOE25'!J226+'DOE25'!J244</f>
        <v>80797</v>
      </c>
      <c r="G15" s="53">
        <f>'DOE25'!K208+'DOE25'!K226+'DOE25'!K244</f>
        <v>279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5232.26</v>
      </c>
      <c r="D16" s="243"/>
      <c r="E16" s="20">
        <f>'DOE25'!L209+'DOE25'!L227+'DOE25'!L245-F16-G16</f>
        <v>5232.26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361417.51999999996</v>
      </c>
      <c r="D29" s="20">
        <f>'DOE25'!L358+'DOE25'!L359+'DOE25'!L360-'DOE25'!I367-F29-G29</f>
        <v>359010.92</v>
      </c>
      <c r="E29" s="243"/>
      <c r="F29" s="255">
        <f>'DOE25'!J358+'DOE25'!J359+'DOE25'!J360</f>
        <v>523</v>
      </c>
      <c r="G29" s="53">
        <f>'DOE25'!K358+'DOE25'!K359+'DOE25'!K360</f>
        <v>1883.6000000000001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2015120.6</v>
      </c>
      <c r="D31" s="20">
        <f>'DOE25'!L290+'DOE25'!L309+'DOE25'!L328+'DOE25'!L333+'DOE25'!L334+'DOE25'!L335-F31-G31</f>
        <v>1925865.2400000002</v>
      </c>
      <c r="E31" s="243"/>
      <c r="F31" s="255">
        <f>'DOE25'!J290+'DOE25'!J309+'DOE25'!J328+'DOE25'!J333+'DOE25'!J334+'DOE25'!J335</f>
        <v>68298.48000000001</v>
      </c>
      <c r="G31" s="53">
        <f>'DOE25'!K290+'DOE25'!K309+'DOE25'!K328+'DOE25'!K333+'DOE25'!K334+'DOE25'!K335</f>
        <v>20956.88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18568383.314542808</v>
      </c>
      <c r="E33" s="246">
        <f>SUM(E5:E31)</f>
        <v>623215.71545719705</v>
      </c>
      <c r="F33" s="246">
        <f>SUM(F5:F31)</f>
        <v>532983.3600000001</v>
      </c>
      <c r="G33" s="246">
        <f>SUM(G5:G31)</f>
        <v>89557.170000000013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623215.71545719705</v>
      </c>
      <c r="E35" s="249"/>
    </row>
    <row r="36" spans="2:8" ht="12" thickTop="1" x14ac:dyDescent="0.2">
      <c r="B36" t="s">
        <v>815</v>
      </c>
      <c r="D36" s="20">
        <f>D33</f>
        <v>18568383.314542808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N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Berlin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0</v>
      </c>
      <c r="D8" s="95">
        <f>'DOE25'!G9</f>
        <v>1585.54</v>
      </c>
      <c r="E8" s="95">
        <f>'DOE25'!H9</f>
        <v>28862.09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0</v>
      </c>
      <c r="D18" s="41">
        <f>SUM(D8:D17)</f>
        <v>1585.54</v>
      </c>
      <c r="E18" s="41">
        <f>SUM(E8:E17)</f>
        <v>28862.09</v>
      </c>
      <c r="F18" s="41">
        <f>SUM(F8:F17)</f>
        <v>0</v>
      </c>
      <c r="G18" s="41">
        <f>SUM(G8:G17)</f>
        <v>0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0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1585.54</v>
      </c>
      <c r="E47" s="95">
        <f>'DOE25'!H48</f>
        <v>28862.09</v>
      </c>
      <c r="F47" s="95">
        <f>'DOE25'!I48</f>
        <v>0</v>
      </c>
      <c r="G47" s="95">
        <f>'DOE25'!J48</f>
        <v>0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0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0</v>
      </c>
      <c r="D50" s="41">
        <f>SUM(D34:D49)</f>
        <v>1585.54</v>
      </c>
      <c r="E50" s="41">
        <f>SUM(E34:E49)</f>
        <v>28862.09</v>
      </c>
      <c r="F50" s="41">
        <f>SUM(F34:F49)</f>
        <v>0</v>
      </c>
      <c r="G50" s="41">
        <f>SUM(G34:G49)</f>
        <v>0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0</v>
      </c>
      <c r="D51" s="41">
        <f>D50+D31</f>
        <v>1585.54</v>
      </c>
      <c r="E51" s="41">
        <f>E50+E31</f>
        <v>28862.09</v>
      </c>
      <c r="F51" s="41">
        <f>F50+F31</f>
        <v>0</v>
      </c>
      <c r="G51" s="41">
        <f>G50+G31</f>
        <v>0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4510450.33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1260518.5699999998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1335.09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221782.88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49537.42</v>
      </c>
      <c r="D61" s="95">
        <f>SUM('DOE25'!G98:G110)</f>
        <v>0</v>
      </c>
      <c r="E61" s="95">
        <f>SUM('DOE25'!H98:H110)</f>
        <v>33737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1311391.0799999998</v>
      </c>
      <c r="D62" s="130">
        <f>SUM(D57:D61)</f>
        <v>221782.88</v>
      </c>
      <c r="E62" s="130">
        <f>SUM(E57:E61)</f>
        <v>33737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5821841.4100000001</v>
      </c>
      <c r="D63" s="22">
        <f>D56+D62</f>
        <v>221782.88</v>
      </c>
      <c r="E63" s="22">
        <f>E56+E62</f>
        <v>33737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10235655.02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734425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3067.63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10973147.65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178244.35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24072.89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87862.43</v>
      </c>
      <c r="D76" s="24" t="s">
        <v>289</v>
      </c>
      <c r="E76" s="95">
        <f>SUM('DOE25'!H127:H130)</f>
        <v>17596.650000000001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9101.3700000000008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290179.67</v>
      </c>
      <c r="D78" s="130">
        <f>SUM(D72:D77)</f>
        <v>9101.3700000000008</v>
      </c>
      <c r="E78" s="130">
        <f>SUM(E72:E77)</f>
        <v>17596.650000000001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11263327.32</v>
      </c>
      <c r="D81" s="130">
        <f>SUM(D79:D80)+D78+D70</f>
        <v>9101.3700000000008</v>
      </c>
      <c r="E81" s="130">
        <f>SUM(E79:E80)+E78+E70</f>
        <v>17596.650000000001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309268.83</v>
      </c>
      <c r="D88" s="95">
        <f>SUM('DOE25'!G153:G161)</f>
        <v>403576.76</v>
      </c>
      <c r="E88" s="95">
        <f>SUM('DOE25'!H153:H161)</f>
        <v>1973492.4500000002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18029.22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25134.66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352432.71</v>
      </c>
      <c r="D91" s="131">
        <f>SUM(D85:D90)</f>
        <v>403576.76</v>
      </c>
      <c r="E91" s="131">
        <f>SUM(E85:E90)</f>
        <v>1973492.4500000002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17437601.440000001</v>
      </c>
      <c r="D104" s="86">
        <f>D63+D81+D91+D103</f>
        <v>634461.01</v>
      </c>
      <c r="E104" s="86">
        <f>E63+E81+E91+E103</f>
        <v>2024826.1</v>
      </c>
      <c r="F104" s="86">
        <f>F63+F81+F91+F103</f>
        <v>0</v>
      </c>
      <c r="G104" s="86">
        <f>G63+G81+G103</f>
        <v>0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7410634.209999999</v>
      </c>
      <c r="D109" s="24" t="s">
        <v>289</v>
      </c>
      <c r="E109" s="95">
        <f>('DOE25'!L276)+('DOE25'!L295)+('DOE25'!L314)</f>
        <v>152467.53999999998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3128532.6700000004</v>
      </c>
      <c r="D110" s="24" t="s">
        <v>289</v>
      </c>
      <c r="E110" s="95">
        <f>('DOE25'!L277)+('DOE25'!L296)+('DOE25'!L315)</f>
        <v>819778.96999999986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709249.91000000015</v>
      </c>
      <c r="D111" s="24" t="s">
        <v>289</v>
      </c>
      <c r="E111" s="95">
        <f>('DOE25'!L278)+('DOE25'!L297)+('DOE25'!L316)</f>
        <v>70907.590000000011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380367.97</v>
      </c>
      <c r="D112" s="24" t="s">
        <v>289</v>
      </c>
      <c r="E112" s="95">
        <f>+('DOE25'!L279)+('DOE25'!L298)+('DOE25'!L317)</f>
        <v>166074.08000000002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80512.060000000012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11628784.76</v>
      </c>
      <c r="D115" s="86">
        <f>SUM(D109:D114)</f>
        <v>0</v>
      </c>
      <c r="E115" s="86">
        <f>SUM(E109:E114)</f>
        <v>1289740.2399999998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1603270.7100000002</v>
      </c>
      <c r="D118" s="24" t="s">
        <v>289</v>
      </c>
      <c r="E118" s="95">
        <f>+('DOE25'!L281)+('DOE25'!L300)+('DOE25'!L319)</f>
        <v>385790.77999999997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301881.78999999998</v>
      </c>
      <c r="D119" s="24" t="s">
        <v>289</v>
      </c>
      <c r="E119" s="95">
        <f>+('DOE25'!L282)+('DOE25'!L301)+('DOE25'!L320)</f>
        <v>105014.52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646016.01</v>
      </c>
      <c r="D120" s="24" t="s">
        <v>289</v>
      </c>
      <c r="E120" s="95">
        <f>+('DOE25'!L283)+('DOE25'!L302)+('DOE25'!L321)</f>
        <v>211313.96999999997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840384.13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253016.19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1763829.5900000003</v>
      </c>
      <c r="D123" s="24" t="s">
        <v>289</v>
      </c>
      <c r="E123" s="95">
        <f>+('DOE25'!L286)+('DOE25'!L305)+('DOE25'!L324)</f>
        <v>20000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395185.99999999994</v>
      </c>
      <c r="D124" s="24" t="s">
        <v>289</v>
      </c>
      <c r="E124" s="95">
        <f>+('DOE25'!L287)+('DOE25'!L306)+('DOE25'!L325)</f>
        <v>3261.09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5232.26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635526.19999999995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5808816.6799999997</v>
      </c>
      <c r="D128" s="86">
        <f>SUM(D118:D127)</f>
        <v>635526.19999999995</v>
      </c>
      <c r="E128" s="86">
        <f>SUM(E118:E127)</f>
        <v>725380.36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0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17437601.439999998</v>
      </c>
      <c r="D145" s="86">
        <f>(D115+D128+D144)</f>
        <v>635526.19999999995</v>
      </c>
      <c r="E145" s="86">
        <f>(E115+E128+E144)</f>
        <v>2015120.5999999996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10</v>
      </c>
      <c r="C151" s="153">
        <f>'DOE25'!G490</f>
        <v>29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07/06</v>
      </c>
      <c r="C152" s="152" t="str">
        <f>'DOE25'!G491</f>
        <v>01/10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07/16</v>
      </c>
      <c r="C153" s="152" t="str">
        <f>'DOE25'!G492</f>
        <v>08/25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1713290</v>
      </c>
      <c r="C154" s="137">
        <f>'DOE25'!G493</f>
        <v>357204.625504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4.3</v>
      </c>
      <c r="C155" s="137">
        <f>'DOE25'!G494</f>
        <v>2.85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394891.96</v>
      </c>
      <c r="C156" s="137">
        <f>'DOE25'!G495</f>
        <v>247521.33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642413.29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193214.07</v>
      </c>
      <c r="C158" s="137">
        <f>'DOE25'!G497</f>
        <v>16932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210146.07</v>
      </c>
    </row>
    <row r="159" spans="1:9" x14ac:dyDescent="0.2">
      <c r="A159" s="22" t="s">
        <v>35</v>
      </c>
      <c r="B159" s="137">
        <f>'DOE25'!F498</f>
        <v>201677.89</v>
      </c>
      <c r="C159" s="137">
        <f>'DOE25'!G498</f>
        <v>230589.33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432267.22</v>
      </c>
    </row>
    <row r="160" spans="1:9" x14ac:dyDescent="0.2">
      <c r="A160" s="22" t="s">
        <v>36</v>
      </c>
      <c r="B160" s="137">
        <f>'DOE25'!F499</f>
        <v>8834.68</v>
      </c>
      <c r="C160" s="137">
        <f>'DOE25'!G499</f>
        <v>60756.000000000015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69590.680000000022</v>
      </c>
    </row>
    <row r="161" spans="1:7" x14ac:dyDescent="0.2">
      <c r="A161" s="22" t="s">
        <v>37</v>
      </c>
      <c r="B161" s="137">
        <f>'DOE25'!F500</f>
        <v>210512.57</v>
      </c>
      <c r="C161" s="137">
        <f>'DOE25'!G500</f>
        <v>291345.33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501857.9</v>
      </c>
    </row>
    <row r="162" spans="1:7" x14ac:dyDescent="0.2">
      <c r="A162" s="22" t="s">
        <v>38</v>
      </c>
      <c r="B162" s="137">
        <f>'DOE25'!F501</f>
        <v>201677.89</v>
      </c>
      <c r="C162" s="137">
        <f>'DOE25'!G501</f>
        <v>17928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219605.89</v>
      </c>
    </row>
    <row r="163" spans="1:7" x14ac:dyDescent="0.2">
      <c r="A163" s="22" t="s">
        <v>39</v>
      </c>
      <c r="B163" s="137">
        <f>'DOE25'!F502</f>
        <v>8834.68</v>
      </c>
      <c r="C163" s="137">
        <f>'DOE25'!G502</f>
        <v>11234.22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20068.900000000001</v>
      </c>
    </row>
    <row r="164" spans="1:7" x14ac:dyDescent="0.2">
      <c r="A164" s="22" t="s">
        <v>246</v>
      </c>
      <c r="B164" s="137">
        <f>'DOE25'!F503</f>
        <v>210512.57</v>
      </c>
      <c r="C164" s="137">
        <f>'DOE25'!G503</f>
        <v>29162.22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239674.79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90" t="s">
        <v>740</v>
      </c>
      <c r="B1" s="290"/>
      <c r="C1" s="290"/>
      <c r="D1" s="290"/>
    </row>
    <row r="2" spans="1:4" x14ac:dyDescent="0.2">
      <c r="A2" s="187" t="s">
        <v>717</v>
      </c>
      <c r="B2" s="186" t="str">
        <f>'DOE25'!A2</f>
        <v>Berlin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15319</v>
      </c>
    </row>
    <row r="5" spans="1:4" x14ac:dyDescent="0.2">
      <c r="B5" t="s">
        <v>704</v>
      </c>
      <c r="C5" s="179">
        <f>IF('DOE25'!G665+'DOE25'!G670=0,0,ROUND('DOE25'!G672,0))</f>
        <v>14391</v>
      </c>
    </row>
    <row r="6" spans="1:4" x14ac:dyDescent="0.2">
      <c r="B6" t="s">
        <v>62</v>
      </c>
      <c r="C6" s="179">
        <f>IF('DOE25'!H665+'DOE25'!H670=0,0,ROUND('DOE25'!H672,0))</f>
        <v>15704</v>
      </c>
    </row>
    <row r="7" spans="1:4" x14ac:dyDescent="0.2">
      <c r="B7" t="s">
        <v>705</v>
      </c>
      <c r="C7" s="179">
        <f>IF('DOE25'!I665+'DOE25'!I670=0,0,ROUND('DOE25'!I672,0))</f>
        <v>15251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7563102</v>
      </c>
      <c r="D10" s="182">
        <f>ROUND((C10/$C$28)*100,1)</f>
        <v>38.1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3948312</v>
      </c>
      <c r="D11" s="182">
        <f>ROUND((C11/$C$28)*100,1)</f>
        <v>19.899999999999999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780158</v>
      </c>
      <c r="D12" s="182">
        <f>ROUND((C12/$C$28)*100,1)</f>
        <v>3.9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546442</v>
      </c>
      <c r="D13" s="182">
        <f>ROUND((C13/$C$28)*100,1)</f>
        <v>2.8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1989061</v>
      </c>
      <c r="D15" s="182">
        <f t="shared" ref="D15:D27" si="0">ROUND((C15/$C$28)*100,1)</f>
        <v>10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406896</v>
      </c>
      <c r="D16" s="182">
        <f t="shared" si="0"/>
        <v>2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862562</v>
      </c>
      <c r="D17" s="182">
        <f t="shared" si="0"/>
        <v>4.3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840384</v>
      </c>
      <c r="D18" s="182">
        <f t="shared" si="0"/>
        <v>4.2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253016</v>
      </c>
      <c r="D19" s="182">
        <f t="shared" si="0"/>
        <v>1.3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1783830</v>
      </c>
      <c r="D20" s="182">
        <f t="shared" si="0"/>
        <v>9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398447</v>
      </c>
      <c r="D21" s="182">
        <f t="shared" si="0"/>
        <v>2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80512</v>
      </c>
      <c r="D24" s="182">
        <f t="shared" si="0"/>
        <v>0.4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413743.12</v>
      </c>
      <c r="D27" s="182">
        <f t="shared" si="0"/>
        <v>2.1</v>
      </c>
    </row>
    <row r="28" spans="1:4" x14ac:dyDescent="0.2">
      <c r="B28" s="187" t="s">
        <v>723</v>
      </c>
      <c r="C28" s="180">
        <f>SUM(C10:C27)</f>
        <v>19866465.120000001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19866465.120000001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4510450</v>
      </c>
      <c r="D35" s="182">
        <f t="shared" ref="D35:D40" si="1">ROUND((C35/$C$41)*100,1)</f>
        <v>22.7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1345128.4100000001</v>
      </c>
      <c r="D36" s="182">
        <f t="shared" si="1"/>
        <v>6.8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10970080</v>
      </c>
      <c r="D37" s="182">
        <f t="shared" si="1"/>
        <v>55.2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319945</v>
      </c>
      <c r="D38" s="182">
        <f t="shared" si="1"/>
        <v>1.6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2729502</v>
      </c>
      <c r="D39" s="182">
        <f t="shared" si="1"/>
        <v>13.7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19875105.41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301" t="s">
        <v>770</v>
      </c>
      <c r="B1" s="302"/>
      <c r="C1" s="302"/>
      <c r="D1" s="302"/>
      <c r="E1" s="302"/>
      <c r="F1" s="302"/>
      <c r="G1" s="302"/>
      <c r="H1" s="302"/>
      <c r="I1" s="302"/>
      <c r="J1" s="213"/>
      <c r="K1" s="213"/>
      <c r="L1" s="213"/>
      <c r="M1" s="214"/>
    </row>
    <row r="2" spans="1:26" ht="12.75" x14ac:dyDescent="0.2">
      <c r="A2" s="307" t="s">
        <v>767</v>
      </c>
      <c r="B2" s="308"/>
      <c r="C2" s="308"/>
      <c r="D2" s="308"/>
      <c r="E2" s="308"/>
      <c r="F2" s="305" t="str">
        <f>'DOE25'!A2</f>
        <v>Berlin</v>
      </c>
      <c r="G2" s="306"/>
      <c r="H2" s="306"/>
      <c r="I2" s="306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303" t="s">
        <v>771</v>
      </c>
      <c r="D3" s="303"/>
      <c r="E3" s="303"/>
      <c r="F3" s="303"/>
      <c r="G3" s="303"/>
      <c r="H3" s="303"/>
      <c r="I3" s="303"/>
      <c r="J3" s="303"/>
      <c r="K3" s="303"/>
      <c r="L3" s="303"/>
      <c r="M3" s="304"/>
    </row>
    <row r="4" spans="1:26" x14ac:dyDescent="0.2">
      <c r="A4" s="218"/>
      <c r="B4" s="219"/>
      <c r="C4" s="292"/>
      <c r="D4" s="292"/>
      <c r="E4" s="292"/>
      <c r="F4" s="292"/>
      <c r="G4" s="292"/>
      <c r="H4" s="292"/>
      <c r="I4" s="292"/>
      <c r="J4" s="292"/>
      <c r="K4" s="292"/>
      <c r="L4" s="292"/>
      <c r="M4" s="293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92"/>
      <c r="D5" s="292"/>
      <c r="E5" s="292"/>
      <c r="F5" s="292"/>
      <c r="G5" s="292"/>
      <c r="H5" s="292"/>
      <c r="I5" s="292"/>
      <c r="J5" s="292"/>
      <c r="K5" s="292"/>
      <c r="L5" s="292"/>
      <c r="M5" s="293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92"/>
      <c r="D6" s="292"/>
      <c r="E6" s="292"/>
      <c r="F6" s="292"/>
      <c r="G6" s="292"/>
      <c r="H6" s="292"/>
      <c r="I6" s="292"/>
      <c r="J6" s="292"/>
      <c r="K6" s="292"/>
      <c r="L6" s="292"/>
      <c r="M6" s="293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92"/>
      <c r="D7" s="292"/>
      <c r="E7" s="292"/>
      <c r="F7" s="292"/>
      <c r="G7" s="292"/>
      <c r="H7" s="292"/>
      <c r="I7" s="292"/>
      <c r="J7" s="292"/>
      <c r="K7" s="292"/>
      <c r="L7" s="292"/>
      <c r="M7" s="293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92"/>
      <c r="D8" s="292"/>
      <c r="E8" s="292"/>
      <c r="F8" s="292"/>
      <c r="G8" s="292"/>
      <c r="H8" s="292"/>
      <c r="I8" s="292"/>
      <c r="J8" s="292"/>
      <c r="K8" s="292"/>
      <c r="L8" s="292"/>
      <c r="M8" s="293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92"/>
      <c r="D9" s="292"/>
      <c r="E9" s="292"/>
      <c r="F9" s="292"/>
      <c r="G9" s="292"/>
      <c r="H9" s="292"/>
      <c r="I9" s="292"/>
      <c r="J9" s="292"/>
      <c r="K9" s="292"/>
      <c r="L9" s="292"/>
      <c r="M9" s="293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92"/>
      <c r="D10" s="292"/>
      <c r="E10" s="292"/>
      <c r="F10" s="292"/>
      <c r="G10" s="292"/>
      <c r="H10" s="292"/>
      <c r="I10" s="292"/>
      <c r="J10" s="292"/>
      <c r="K10" s="292"/>
      <c r="L10" s="292"/>
      <c r="M10" s="293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92"/>
      <c r="D11" s="292"/>
      <c r="E11" s="292"/>
      <c r="F11" s="292"/>
      <c r="G11" s="292"/>
      <c r="H11" s="292"/>
      <c r="I11" s="292"/>
      <c r="J11" s="292"/>
      <c r="K11" s="292"/>
      <c r="L11" s="292"/>
      <c r="M11" s="293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92"/>
      <c r="D12" s="292"/>
      <c r="E12" s="292"/>
      <c r="F12" s="292"/>
      <c r="G12" s="292"/>
      <c r="H12" s="292"/>
      <c r="I12" s="292"/>
      <c r="J12" s="292"/>
      <c r="K12" s="292"/>
      <c r="L12" s="292"/>
      <c r="M12" s="293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92"/>
      <c r="D13" s="292"/>
      <c r="E13" s="292"/>
      <c r="F13" s="292"/>
      <c r="G13" s="292"/>
      <c r="H13" s="292"/>
      <c r="I13" s="292"/>
      <c r="J13" s="292"/>
      <c r="K13" s="292"/>
      <c r="L13" s="292"/>
      <c r="M13" s="293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92"/>
      <c r="D14" s="292"/>
      <c r="E14" s="292"/>
      <c r="F14" s="292"/>
      <c r="G14" s="292"/>
      <c r="H14" s="292"/>
      <c r="I14" s="292"/>
      <c r="J14" s="292"/>
      <c r="K14" s="292"/>
      <c r="L14" s="292"/>
      <c r="M14" s="293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92"/>
      <c r="D15" s="292"/>
      <c r="E15" s="292"/>
      <c r="F15" s="292"/>
      <c r="G15" s="292"/>
      <c r="H15" s="292"/>
      <c r="I15" s="292"/>
      <c r="J15" s="292"/>
      <c r="K15" s="292"/>
      <c r="L15" s="292"/>
      <c r="M15" s="293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92"/>
      <c r="D16" s="292"/>
      <c r="E16" s="292"/>
      <c r="F16" s="292"/>
      <c r="G16" s="292"/>
      <c r="H16" s="292"/>
      <c r="I16" s="292"/>
      <c r="J16" s="292"/>
      <c r="K16" s="292"/>
      <c r="L16" s="292"/>
      <c r="M16" s="293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92"/>
      <c r="D17" s="292"/>
      <c r="E17" s="292"/>
      <c r="F17" s="292"/>
      <c r="G17" s="292"/>
      <c r="H17" s="292"/>
      <c r="I17" s="292"/>
      <c r="J17" s="292"/>
      <c r="K17" s="292"/>
      <c r="L17" s="292"/>
      <c r="M17" s="293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92"/>
      <c r="D18" s="292"/>
      <c r="E18" s="292"/>
      <c r="F18" s="292"/>
      <c r="G18" s="292"/>
      <c r="H18" s="292"/>
      <c r="I18" s="292"/>
      <c r="J18" s="292"/>
      <c r="K18" s="292"/>
      <c r="L18" s="292"/>
      <c r="M18" s="293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92"/>
      <c r="D19" s="292"/>
      <c r="E19" s="292"/>
      <c r="F19" s="292"/>
      <c r="G19" s="292"/>
      <c r="H19" s="292"/>
      <c r="I19" s="292"/>
      <c r="J19" s="292"/>
      <c r="K19" s="292"/>
      <c r="L19" s="292"/>
      <c r="M19" s="293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92"/>
      <c r="D20" s="292"/>
      <c r="E20" s="292"/>
      <c r="F20" s="292"/>
      <c r="G20" s="292"/>
      <c r="H20" s="292"/>
      <c r="I20" s="292"/>
      <c r="J20" s="292"/>
      <c r="K20" s="292"/>
      <c r="L20" s="292"/>
      <c r="M20" s="293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92"/>
      <c r="D21" s="292"/>
      <c r="E21" s="292"/>
      <c r="F21" s="292"/>
      <c r="G21" s="292"/>
      <c r="H21" s="292"/>
      <c r="I21" s="292"/>
      <c r="J21" s="292"/>
      <c r="K21" s="292"/>
      <c r="L21" s="292"/>
      <c r="M21" s="293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92"/>
      <c r="D22" s="292"/>
      <c r="E22" s="292"/>
      <c r="F22" s="292"/>
      <c r="G22" s="292"/>
      <c r="H22" s="292"/>
      <c r="I22" s="292"/>
      <c r="J22" s="292"/>
      <c r="K22" s="292"/>
      <c r="L22" s="292"/>
      <c r="M22" s="293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92"/>
      <c r="D23" s="292"/>
      <c r="E23" s="292"/>
      <c r="F23" s="292"/>
      <c r="G23" s="292"/>
      <c r="H23" s="292"/>
      <c r="I23" s="292"/>
      <c r="J23" s="292"/>
      <c r="K23" s="292"/>
      <c r="L23" s="292"/>
      <c r="M23" s="293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92"/>
      <c r="D24" s="292"/>
      <c r="E24" s="292"/>
      <c r="F24" s="292"/>
      <c r="G24" s="292"/>
      <c r="H24" s="292"/>
      <c r="I24" s="292"/>
      <c r="J24" s="292"/>
      <c r="K24" s="292"/>
      <c r="L24" s="292"/>
      <c r="M24" s="293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92"/>
      <c r="D25" s="292"/>
      <c r="E25" s="292"/>
      <c r="F25" s="292"/>
      <c r="G25" s="292"/>
      <c r="H25" s="292"/>
      <c r="I25" s="292"/>
      <c r="J25" s="292"/>
      <c r="K25" s="292"/>
      <c r="L25" s="292"/>
      <c r="M25" s="293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92"/>
      <c r="D26" s="292"/>
      <c r="E26" s="292"/>
      <c r="F26" s="292"/>
      <c r="G26" s="292"/>
      <c r="H26" s="292"/>
      <c r="I26" s="292"/>
      <c r="J26" s="292"/>
      <c r="K26" s="292"/>
      <c r="L26" s="292"/>
      <c r="M26" s="293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92"/>
      <c r="D27" s="292"/>
      <c r="E27" s="292"/>
      <c r="F27" s="292"/>
      <c r="G27" s="292"/>
      <c r="H27" s="292"/>
      <c r="I27" s="292"/>
      <c r="J27" s="292"/>
      <c r="K27" s="292"/>
      <c r="L27" s="292"/>
      <c r="M27" s="293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92"/>
      <c r="D28" s="292"/>
      <c r="E28" s="292"/>
      <c r="F28" s="292"/>
      <c r="G28" s="292"/>
      <c r="H28" s="292"/>
      <c r="I28" s="292"/>
      <c r="J28" s="292"/>
      <c r="K28" s="292"/>
      <c r="L28" s="292"/>
      <c r="M28" s="293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92"/>
      <c r="D29" s="292"/>
      <c r="E29" s="292"/>
      <c r="F29" s="292"/>
      <c r="G29" s="292"/>
      <c r="H29" s="292"/>
      <c r="I29" s="292"/>
      <c r="J29" s="292"/>
      <c r="K29" s="292"/>
      <c r="L29" s="292"/>
      <c r="M29" s="293"/>
      <c r="N29" s="211"/>
      <c r="O29" s="211"/>
      <c r="P29" s="298"/>
      <c r="Q29" s="298"/>
      <c r="R29" s="298"/>
      <c r="S29" s="298"/>
      <c r="T29" s="298"/>
      <c r="U29" s="298"/>
      <c r="V29" s="298"/>
      <c r="W29" s="298"/>
      <c r="X29" s="298"/>
      <c r="Y29" s="298"/>
      <c r="Z29" s="298"/>
      <c r="AA29" s="207"/>
      <c r="AB29" s="207"/>
      <c r="AC29" s="297"/>
      <c r="AD29" s="297"/>
      <c r="AE29" s="297"/>
      <c r="AF29" s="297"/>
      <c r="AG29" s="297"/>
      <c r="AH29" s="297"/>
      <c r="AI29" s="297"/>
      <c r="AJ29" s="297"/>
      <c r="AK29" s="297"/>
      <c r="AL29" s="297"/>
      <c r="AM29" s="297"/>
      <c r="AN29" s="207"/>
      <c r="AO29" s="207"/>
      <c r="AP29" s="297"/>
      <c r="AQ29" s="297"/>
      <c r="AR29" s="297"/>
      <c r="AS29" s="297"/>
      <c r="AT29" s="297"/>
      <c r="AU29" s="297"/>
      <c r="AV29" s="297"/>
      <c r="AW29" s="297"/>
      <c r="AX29" s="297"/>
      <c r="AY29" s="297"/>
      <c r="AZ29" s="297"/>
      <c r="BA29" s="207"/>
      <c r="BB29" s="207"/>
      <c r="BC29" s="297"/>
      <c r="BD29" s="297"/>
      <c r="BE29" s="297"/>
      <c r="BF29" s="297"/>
      <c r="BG29" s="297"/>
      <c r="BH29" s="297"/>
      <c r="BI29" s="297"/>
      <c r="BJ29" s="297"/>
      <c r="BK29" s="297"/>
      <c r="BL29" s="297"/>
      <c r="BM29" s="297"/>
      <c r="BN29" s="207"/>
      <c r="BO29" s="207"/>
      <c r="BP29" s="297"/>
      <c r="BQ29" s="297"/>
      <c r="BR29" s="297"/>
      <c r="BS29" s="297"/>
      <c r="BT29" s="297"/>
      <c r="BU29" s="297"/>
      <c r="BV29" s="297"/>
      <c r="BW29" s="297"/>
      <c r="BX29" s="297"/>
      <c r="BY29" s="297"/>
      <c r="BZ29" s="297"/>
      <c r="CA29" s="207"/>
      <c r="CB29" s="207"/>
      <c r="CC29" s="297"/>
      <c r="CD29" s="297"/>
      <c r="CE29" s="297"/>
      <c r="CF29" s="297"/>
      <c r="CG29" s="297"/>
      <c r="CH29" s="297"/>
      <c r="CI29" s="297"/>
      <c r="CJ29" s="297"/>
      <c r="CK29" s="297"/>
      <c r="CL29" s="297"/>
      <c r="CM29" s="297"/>
      <c r="CN29" s="207"/>
      <c r="CO29" s="207"/>
      <c r="CP29" s="297"/>
      <c r="CQ29" s="297"/>
      <c r="CR29" s="297"/>
      <c r="CS29" s="297"/>
      <c r="CT29" s="297"/>
      <c r="CU29" s="297"/>
      <c r="CV29" s="297"/>
      <c r="CW29" s="297"/>
      <c r="CX29" s="297"/>
      <c r="CY29" s="297"/>
      <c r="CZ29" s="297"/>
      <c r="DA29" s="207"/>
      <c r="DB29" s="207"/>
      <c r="DC29" s="297"/>
      <c r="DD29" s="297"/>
      <c r="DE29" s="297"/>
      <c r="DF29" s="297"/>
      <c r="DG29" s="297"/>
      <c r="DH29" s="297"/>
      <c r="DI29" s="297"/>
      <c r="DJ29" s="297"/>
      <c r="DK29" s="297"/>
      <c r="DL29" s="297"/>
      <c r="DM29" s="297"/>
      <c r="DN29" s="207"/>
      <c r="DO29" s="207"/>
      <c r="DP29" s="297"/>
      <c r="DQ29" s="297"/>
      <c r="DR29" s="297"/>
      <c r="DS29" s="297"/>
      <c r="DT29" s="297"/>
      <c r="DU29" s="297"/>
      <c r="DV29" s="297"/>
      <c r="DW29" s="297"/>
      <c r="DX29" s="297"/>
      <c r="DY29" s="297"/>
      <c r="DZ29" s="297"/>
      <c r="EA29" s="207"/>
      <c r="EB29" s="207"/>
      <c r="EC29" s="297"/>
      <c r="ED29" s="297"/>
      <c r="EE29" s="297"/>
      <c r="EF29" s="297"/>
      <c r="EG29" s="297"/>
      <c r="EH29" s="297"/>
      <c r="EI29" s="297"/>
      <c r="EJ29" s="297"/>
      <c r="EK29" s="297"/>
      <c r="EL29" s="297"/>
      <c r="EM29" s="297"/>
      <c r="EN29" s="207"/>
      <c r="EO29" s="207"/>
      <c r="EP29" s="297"/>
      <c r="EQ29" s="297"/>
      <c r="ER29" s="297"/>
      <c r="ES29" s="297"/>
      <c r="ET29" s="297"/>
      <c r="EU29" s="297"/>
      <c r="EV29" s="297"/>
      <c r="EW29" s="297"/>
      <c r="EX29" s="297"/>
      <c r="EY29" s="297"/>
      <c r="EZ29" s="297"/>
      <c r="FA29" s="207"/>
      <c r="FB29" s="207"/>
      <c r="FC29" s="297"/>
      <c r="FD29" s="297"/>
      <c r="FE29" s="297"/>
      <c r="FF29" s="297"/>
      <c r="FG29" s="297"/>
      <c r="FH29" s="297"/>
      <c r="FI29" s="297"/>
      <c r="FJ29" s="297"/>
      <c r="FK29" s="297"/>
      <c r="FL29" s="297"/>
      <c r="FM29" s="297"/>
      <c r="FN29" s="207"/>
      <c r="FO29" s="207"/>
      <c r="FP29" s="297"/>
      <c r="FQ29" s="297"/>
      <c r="FR29" s="297"/>
      <c r="FS29" s="297"/>
      <c r="FT29" s="297"/>
      <c r="FU29" s="297"/>
      <c r="FV29" s="297"/>
      <c r="FW29" s="297"/>
      <c r="FX29" s="297"/>
      <c r="FY29" s="297"/>
      <c r="FZ29" s="297"/>
      <c r="GA29" s="207"/>
      <c r="GB29" s="207"/>
      <c r="GC29" s="297"/>
      <c r="GD29" s="297"/>
      <c r="GE29" s="297"/>
      <c r="GF29" s="297"/>
      <c r="GG29" s="297"/>
      <c r="GH29" s="297"/>
      <c r="GI29" s="297"/>
      <c r="GJ29" s="297"/>
      <c r="GK29" s="297"/>
      <c r="GL29" s="297"/>
      <c r="GM29" s="297"/>
      <c r="GN29" s="207"/>
      <c r="GO29" s="207"/>
      <c r="GP29" s="297"/>
      <c r="GQ29" s="297"/>
      <c r="GR29" s="297"/>
      <c r="GS29" s="297"/>
      <c r="GT29" s="297"/>
      <c r="GU29" s="297"/>
      <c r="GV29" s="297"/>
      <c r="GW29" s="297"/>
      <c r="GX29" s="297"/>
      <c r="GY29" s="297"/>
      <c r="GZ29" s="297"/>
      <c r="HA29" s="207"/>
      <c r="HB29" s="207"/>
      <c r="HC29" s="297"/>
      <c r="HD29" s="297"/>
      <c r="HE29" s="297"/>
      <c r="HF29" s="297"/>
      <c r="HG29" s="297"/>
      <c r="HH29" s="297"/>
      <c r="HI29" s="297"/>
      <c r="HJ29" s="297"/>
      <c r="HK29" s="297"/>
      <c r="HL29" s="297"/>
      <c r="HM29" s="297"/>
      <c r="HN29" s="207"/>
      <c r="HO29" s="207"/>
      <c r="HP29" s="297"/>
      <c r="HQ29" s="297"/>
      <c r="HR29" s="297"/>
      <c r="HS29" s="297"/>
      <c r="HT29" s="297"/>
      <c r="HU29" s="297"/>
      <c r="HV29" s="297"/>
      <c r="HW29" s="297"/>
      <c r="HX29" s="297"/>
      <c r="HY29" s="297"/>
      <c r="HZ29" s="297"/>
      <c r="IA29" s="207"/>
      <c r="IB29" s="207"/>
      <c r="IC29" s="297"/>
      <c r="ID29" s="297"/>
      <c r="IE29" s="297"/>
      <c r="IF29" s="297"/>
      <c r="IG29" s="297"/>
      <c r="IH29" s="297"/>
      <c r="II29" s="297"/>
      <c r="IJ29" s="297"/>
      <c r="IK29" s="297"/>
      <c r="IL29" s="297"/>
      <c r="IM29" s="297"/>
      <c r="IN29" s="207"/>
      <c r="IO29" s="207"/>
      <c r="IP29" s="297"/>
      <c r="IQ29" s="297"/>
      <c r="IR29" s="297"/>
      <c r="IS29" s="297"/>
      <c r="IT29" s="297"/>
      <c r="IU29" s="297"/>
      <c r="IV29" s="297"/>
    </row>
    <row r="30" spans="1:256" x14ac:dyDescent="0.2">
      <c r="A30" s="218"/>
      <c r="B30" s="219"/>
      <c r="C30" s="292"/>
      <c r="D30" s="292"/>
      <c r="E30" s="292"/>
      <c r="F30" s="292"/>
      <c r="G30" s="292"/>
      <c r="H30" s="292"/>
      <c r="I30" s="292"/>
      <c r="J30" s="292"/>
      <c r="K30" s="292"/>
      <c r="L30" s="292"/>
      <c r="M30" s="293"/>
      <c r="N30" s="211"/>
      <c r="O30" s="211"/>
      <c r="P30" s="298"/>
      <c r="Q30" s="298"/>
      <c r="R30" s="298"/>
      <c r="S30" s="298"/>
      <c r="T30" s="298"/>
      <c r="U30" s="298"/>
      <c r="V30" s="298"/>
      <c r="W30" s="298"/>
      <c r="X30" s="298"/>
      <c r="Y30" s="298"/>
      <c r="Z30" s="298"/>
      <c r="AA30" s="207"/>
      <c r="AB30" s="207"/>
      <c r="AC30" s="297"/>
      <c r="AD30" s="297"/>
      <c r="AE30" s="297"/>
      <c r="AF30" s="297"/>
      <c r="AG30" s="297"/>
      <c r="AH30" s="297"/>
      <c r="AI30" s="297"/>
      <c r="AJ30" s="297"/>
      <c r="AK30" s="297"/>
      <c r="AL30" s="297"/>
      <c r="AM30" s="297"/>
      <c r="AN30" s="207"/>
      <c r="AO30" s="207"/>
      <c r="AP30" s="297"/>
      <c r="AQ30" s="297"/>
      <c r="AR30" s="297"/>
      <c r="AS30" s="297"/>
      <c r="AT30" s="297"/>
      <c r="AU30" s="297"/>
      <c r="AV30" s="297"/>
      <c r="AW30" s="297"/>
      <c r="AX30" s="297"/>
      <c r="AY30" s="297"/>
      <c r="AZ30" s="297"/>
      <c r="BA30" s="207"/>
      <c r="BB30" s="207"/>
      <c r="BC30" s="297"/>
      <c r="BD30" s="297"/>
      <c r="BE30" s="297"/>
      <c r="BF30" s="297"/>
      <c r="BG30" s="297"/>
      <c r="BH30" s="297"/>
      <c r="BI30" s="297"/>
      <c r="BJ30" s="297"/>
      <c r="BK30" s="297"/>
      <c r="BL30" s="297"/>
      <c r="BM30" s="297"/>
      <c r="BN30" s="207"/>
      <c r="BO30" s="207"/>
      <c r="BP30" s="297"/>
      <c r="BQ30" s="297"/>
      <c r="BR30" s="297"/>
      <c r="BS30" s="297"/>
      <c r="BT30" s="297"/>
      <c r="BU30" s="297"/>
      <c r="BV30" s="297"/>
      <c r="BW30" s="297"/>
      <c r="BX30" s="297"/>
      <c r="BY30" s="297"/>
      <c r="BZ30" s="297"/>
      <c r="CA30" s="207"/>
      <c r="CB30" s="207"/>
      <c r="CC30" s="297"/>
      <c r="CD30" s="297"/>
      <c r="CE30" s="297"/>
      <c r="CF30" s="297"/>
      <c r="CG30" s="297"/>
      <c r="CH30" s="297"/>
      <c r="CI30" s="297"/>
      <c r="CJ30" s="297"/>
      <c r="CK30" s="297"/>
      <c r="CL30" s="297"/>
      <c r="CM30" s="297"/>
      <c r="CN30" s="207"/>
      <c r="CO30" s="207"/>
      <c r="CP30" s="297"/>
      <c r="CQ30" s="297"/>
      <c r="CR30" s="297"/>
      <c r="CS30" s="297"/>
      <c r="CT30" s="297"/>
      <c r="CU30" s="297"/>
      <c r="CV30" s="297"/>
      <c r="CW30" s="297"/>
      <c r="CX30" s="297"/>
      <c r="CY30" s="297"/>
      <c r="CZ30" s="297"/>
      <c r="DA30" s="207"/>
      <c r="DB30" s="207"/>
      <c r="DC30" s="297"/>
      <c r="DD30" s="297"/>
      <c r="DE30" s="297"/>
      <c r="DF30" s="297"/>
      <c r="DG30" s="297"/>
      <c r="DH30" s="297"/>
      <c r="DI30" s="297"/>
      <c r="DJ30" s="297"/>
      <c r="DK30" s="297"/>
      <c r="DL30" s="297"/>
      <c r="DM30" s="297"/>
      <c r="DN30" s="207"/>
      <c r="DO30" s="207"/>
      <c r="DP30" s="297"/>
      <c r="DQ30" s="297"/>
      <c r="DR30" s="297"/>
      <c r="DS30" s="297"/>
      <c r="DT30" s="297"/>
      <c r="DU30" s="297"/>
      <c r="DV30" s="297"/>
      <c r="DW30" s="297"/>
      <c r="DX30" s="297"/>
      <c r="DY30" s="297"/>
      <c r="DZ30" s="297"/>
      <c r="EA30" s="207"/>
      <c r="EB30" s="207"/>
      <c r="EC30" s="297"/>
      <c r="ED30" s="297"/>
      <c r="EE30" s="297"/>
      <c r="EF30" s="297"/>
      <c r="EG30" s="297"/>
      <c r="EH30" s="297"/>
      <c r="EI30" s="297"/>
      <c r="EJ30" s="297"/>
      <c r="EK30" s="297"/>
      <c r="EL30" s="297"/>
      <c r="EM30" s="297"/>
      <c r="EN30" s="207"/>
      <c r="EO30" s="207"/>
      <c r="EP30" s="297"/>
      <c r="EQ30" s="297"/>
      <c r="ER30" s="297"/>
      <c r="ES30" s="297"/>
      <c r="ET30" s="297"/>
      <c r="EU30" s="297"/>
      <c r="EV30" s="297"/>
      <c r="EW30" s="297"/>
      <c r="EX30" s="297"/>
      <c r="EY30" s="297"/>
      <c r="EZ30" s="297"/>
      <c r="FA30" s="207"/>
      <c r="FB30" s="207"/>
      <c r="FC30" s="297"/>
      <c r="FD30" s="297"/>
      <c r="FE30" s="297"/>
      <c r="FF30" s="297"/>
      <c r="FG30" s="297"/>
      <c r="FH30" s="297"/>
      <c r="FI30" s="297"/>
      <c r="FJ30" s="297"/>
      <c r="FK30" s="297"/>
      <c r="FL30" s="297"/>
      <c r="FM30" s="297"/>
      <c r="FN30" s="207"/>
      <c r="FO30" s="207"/>
      <c r="FP30" s="297"/>
      <c r="FQ30" s="297"/>
      <c r="FR30" s="297"/>
      <c r="FS30" s="297"/>
      <c r="FT30" s="297"/>
      <c r="FU30" s="297"/>
      <c r="FV30" s="297"/>
      <c r="FW30" s="297"/>
      <c r="FX30" s="297"/>
      <c r="FY30" s="297"/>
      <c r="FZ30" s="297"/>
      <c r="GA30" s="207"/>
      <c r="GB30" s="207"/>
      <c r="GC30" s="297"/>
      <c r="GD30" s="297"/>
      <c r="GE30" s="297"/>
      <c r="GF30" s="297"/>
      <c r="GG30" s="297"/>
      <c r="GH30" s="297"/>
      <c r="GI30" s="297"/>
      <c r="GJ30" s="297"/>
      <c r="GK30" s="297"/>
      <c r="GL30" s="297"/>
      <c r="GM30" s="297"/>
      <c r="GN30" s="207"/>
      <c r="GO30" s="207"/>
      <c r="GP30" s="297"/>
      <c r="GQ30" s="297"/>
      <c r="GR30" s="297"/>
      <c r="GS30" s="297"/>
      <c r="GT30" s="297"/>
      <c r="GU30" s="297"/>
      <c r="GV30" s="297"/>
      <c r="GW30" s="297"/>
      <c r="GX30" s="297"/>
      <c r="GY30" s="297"/>
      <c r="GZ30" s="297"/>
      <c r="HA30" s="207"/>
      <c r="HB30" s="207"/>
      <c r="HC30" s="297"/>
      <c r="HD30" s="297"/>
      <c r="HE30" s="297"/>
      <c r="HF30" s="297"/>
      <c r="HG30" s="297"/>
      <c r="HH30" s="297"/>
      <c r="HI30" s="297"/>
      <c r="HJ30" s="297"/>
      <c r="HK30" s="297"/>
      <c r="HL30" s="297"/>
      <c r="HM30" s="297"/>
      <c r="HN30" s="207"/>
      <c r="HO30" s="207"/>
      <c r="HP30" s="297"/>
      <c r="HQ30" s="297"/>
      <c r="HR30" s="297"/>
      <c r="HS30" s="297"/>
      <c r="HT30" s="297"/>
      <c r="HU30" s="297"/>
      <c r="HV30" s="297"/>
      <c r="HW30" s="297"/>
      <c r="HX30" s="297"/>
      <c r="HY30" s="297"/>
      <c r="HZ30" s="297"/>
      <c r="IA30" s="207"/>
      <c r="IB30" s="207"/>
      <c r="IC30" s="297"/>
      <c r="ID30" s="297"/>
      <c r="IE30" s="297"/>
      <c r="IF30" s="297"/>
      <c r="IG30" s="297"/>
      <c r="IH30" s="297"/>
      <c r="II30" s="297"/>
      <c r="IJ30" s="297"/>
      <c r="IK30" s="297"/>
      <c r="IL30" s="297"/>
      <c r="IM30" s="297"/>
      <c r="IN30" s="207"/>
      <c r="IO30" s="207"/>
      <c r="IP30" s="297"/>
      <c r="IQ30" s="297"/>
      <c r="IR30" s="297"/>
      <c r="IS30" s="297"/>
      <c r="IT30" s="297"/>
      <c r="IU30" s="297"/>
      <c r="IV30" s="297"/>
    </row>
    <row r="31" spans="1:256" x14ac:dyDescent="0.2">
      <c r="A31" s="218"/>
      <c r="B31" s="219"/>
      <c r="C31" s="292"/>
      <c r="D31" s="292"/>
      <c r="E31" s="292"/>
      <c r="F31" s="292"/>
      <c r="G31" s="292"/>
      <c r="H31" s="292"/>
      <c r="I31" s="292"/>
      <c r="J31" s="292"/>
      <c r="K31" s="292"/>
      <c r="L31" s="292"/>
      <c r="M31" s="293"/>
      <c r="N31" s="211"/>
      <c r="O31" s="211"/>
      <c r="P31" s="298"/>
      <c r="Q31" s="298"/>
      <c r="R31" s="298"/>
      <c r="S31" s="298"/>
      <c r="T31" s="298"/>
      <c r="U31" s="298"/>
      <c r="V31" s="298"/>
      <c r="W31" s="298"/>
      <c r="X31" s="298"/>
      <c r="Y31" s="298"/>
      <c r="Z31" s="298"/>
      <c r="AA31" s="207"/>
      <c r="AB31" s="207"/>
      <c r="AC31" s="297"/>
      <c r="AD31" s="297"/>
      <c r="AE31" s="297"/>
      <c r="AF31" s="297"/>
      <c r="AG31" s="297"/>
      <c r="AH31" s="297"/>
      <c r="AI31" s="297"/>
      <c r="AJ31" s="297"/>
      <c r="AK31" s="297"/>
      <c r="AL31" s="297"/>
      <c r="AM31" s="297"/>
      <c r="AN31" s="207"/>
      <c r="AO31" s="207"/>
      <c r="AP31" s="297"/>
      <c r="AQ31" s="297"/>
      <c r="AR31" s="297"/>
      <c r="AS31" s="297"/>
      <c r="AT31" s="297"/>
      <c r="AU31" s="297"/>
      <c r="AV31" s="297"/>
      <c r="AW31" s="297"/>
      <c r="AX31" s="297"/>
      <c r="AY31" s="297"/>
      <c r="AZ31" s="297"/>
      <c r="BA31" s="207"/>
      <c r="BB31" s="207"/>
      <c r="BC31" s="297"/>
      <c r="BD31" s="297"/>
      <c r="BE31" s="297"/>
      <c r="BF31" s="297"/>
      <c r="BG31" s="297"/>
      <c r="BH31" s="297"/>
      <c r="BI31" s="297"/>
      <c r="BJ31" s="297"/>
      <c r="BK31" s="297"/>
      <c r="BL31" s="297"/>
      <c r="BM31" s="297"/>
      <c r="BN31" s="207"/>
      <c r="BO31" s="207"/>
      <c r="BP31" s="297"/>
      <c r="BQ31" s="297"/>
      <c r="BR31" s="297"/>
      <c r="BS31" s="297"/>
      <c r="BT31" s="297"/>
      <c r="BU31" s="297"/>
      <c r="BV31" s="297"/>
      <c r="BW31" s="297"/>
      <c r="BX31" s="297"/>
      <c r="BY31" s="297"/>
      <c r="BZ31" s="297"/>
      <c r="CA31" s="207"/>
      <c r="CB31" s="207"/>
      <c r="CC31" s="297"/>
      <c r="CD31" s="297"/>
      <c r="CE31" s="297"/>
      <c r="CF31" s="297"/>
      <c r="CG31" s="297"/>
      <c r="CH31" s="297"/>
      <c r="CI31" s="297"/>
      <c r="CJ31" s="297"/>
      <c r="CK31" s="297"/>
      <c r="CL31" s="297"/>
      <c r="CM31" s="297"/>
      <c r="CN31" s="207"/>
      <c r="CO31" s="207"/>
      <c r="CP31" s="297"/>
      <c r="CQ31" s="297"/>
      <c r="CR31" s="297"/>
      <c r="CS31" s="297"/>
      <c r="CT31" s="297"/>
      <c r="CU31" s="297"/>
      <c r="CV31" s="297"/>
      <c r="CW31" s="297"/>
      <c r="CX31" s="297"/>
      <c r="CY31" s="297"/>
      <c r="CZ31" s="297"/>
      <c r="DA31" s="207"/>
      <c r="DB31" s="207"/>
      <c r="DC31" s="297"/>
      <c r="DD31" s="297"/>
      <c r="DE31" s="297"/>
      <c r="DF31" s="297"/>
      <c r="DG31" s="297"/>
      <c r="DH31" s="297"/>
      <c r="DI31" s="297"/>
      <c r="DJ31" s="297"/>
      <c r="DK31" s="297"/>
      <c r="DL31" s="297"/>
      <c r="DM31" s="297"/>
      <c r="DN31" s="207"/>
      <c r="DO31" s="207"/>
      <c r="DP31" s="297"/>
      <c r="DQ31" s="297"/>
      <c r="DR31" s="297"/>
      <c r="DS31" s="297"/>
      <c r="DT31" s="297"/>
      <c r="DU31" s="297"/>
      <c r="DV31" s="297"/>
      <c r="DW31" s="297"/>
      <c r="DX31" s="297"/>
      <c r="DY31" s="297"/>
      <c r="DZ31" s="297"/>
      <c r="EA31" s="207"/>
      <c r="EB31" s="207"/>
      <c r="EC31" s="297"/>
      <c r="ED31" s="297"/>
      <c r="EE31" s="297"/>
      <c r="EF31" s="297"/>
      <c r="EG31" s="297"/>
      <c r="EH31" s="297"/>
      <c r="EI31" s="297"/>
      <c r="EJ31" s="297"/>
      <c r="EK31" s="297"/>
      <c r="EL31" s="297"/>
      <c r="EM31" s="297"/>
      <c r="EN31" s="207"/>
      <c r="EO31" s="207"/>
      <c r="EP31" s="297"/>
      <c r="EQ31" s="297"/>
      <c r="ER31" s="297"/>
      <c r="ES31" s="297"/>
      <c r="ET31" s="297"/>
      <c r="EU31" s="297"/>
      <c r="EV31" s="297"/>
      <c r="EW31" s="297"/>
      <c r="EX31" s="297"/>
      <c r="EY31" s="297"/>
      <c r="EZ31" s="297"/>
      <c r="FA31" s="207"/>
      <c r="FB31" s="207"/>
      <c r="FC31" s="297"/>
      <c r="FD31" s="297"/>
      <c r="FE31" s="297"/>
      <c r="FF31" s="297"/>
      <c r="FG31" s="297"/>
      <c r="FH31" s="297"/>
      <c r="FI31" s="297"/>
      <c r="FJ31" s="297"/>
      <c r="FK31" s="297"/>
      <c r="FL31" s="297"/>
      <c r="FM31" s="297"/>
      <c r="FN31" s="207"/>
      <c r="FO31" s="207"/>
      <c r="FP31" s="297"/>
      <c r="FQ31" s="297"/>
      <c r="FR31" s="297"/>
      <c r="FS31" s="297"/>
      <c r="FT31" s="297"/>
      <c r="FU31" s="297"/>
      <c r="FV31" s="297"/>
      <c r="FW31" s="297"/>
      <c r="FX31" s="297"/>
      <c r="FY31" s="297"/>
      <c r="FZ31" s="297"/>
      <c r="GA31" s="207"/>
      <c r="GB31" s="207"/>
      <c r="GC31" s="297"/>
      <c r="GD31" s="297"/>
      <c r="GE31" s="297"/>
      <c r="GF31" s="297"/>
      <c r="GG31" s="297"/>
      <c r="GH31" s="297"/>
      <c r="GI31" s="297"/>
      <c r="GJ31" s="297"/>
      <c r="GK31" s="297"/>
      <c r="GL31" s="297"/>
      <c r="GM31" s="297"/>
      <c r="GN31" s="207"/>
      <c r="GO31" s="207"/>
      <c r="GP31" s="297"/>
      <c r="GQ31" s="297"/>
      <c r="GR31" s="297"/>
      <c r="GS31" s="297"/>
      <c r="GT31" s="297"/>
      <c r="GU31" s="297"/>
      <c r="GV31" s="297"/>
      <c r="GW31" s="297"/>
      <c r="GX31" s="297"/>
      <c r="GY31" s="297"/>
      <c r="GZ31" s="297"/>
      <c r="HA31" s="207"/>
      <c r="HB31" s="207"/>
      <c r="HC31" s="297"/>
      <c r="HD31" s="297"/>
      <c r="HE31" s="297"/>
      <c r="HF31" s="297"/>
      <c r="HG31" s="297"/>
      <c r="HH31" s="297"/>
      <c r="HI31" s="297"/>
      <c r="HJ31" s="297"/>
      <c r="HK31" s="297"/>
      <c r="HL31" s="297"/>
      <c r="HM31" s="297"/>
      <c r="HN31" s="207"/>
      <c r="HO31" s="207"/>
      <c r="HP31" s="297"/>
      <c r="HQ31" s="297"/>
      <c r="HR31" s="297"/>
      <c r="HS31" s="297"/>
      <c r="HT31" s="297"/>
      <c r="HU31" s="297"/>
      <c r="HV31" s="297"/>
      <c r="HW31" s="297"/>
      <c r="HX31" s="297"/>
      <c r="HY31" s="297"/>
      <c r="HZ31" s="297"/>
      <c r="IA31" s="207"/>
      <c r="IB31" s="207"/>
      <c r="IC31" s="297"/>
      <c r="ID31" s="297"/>
      <c r="IE31" s="297"/>
      <c r="IF31" s="297"/>
      <c r="IG31" s="297"/>
      <c r="IH31" s="297"/>
      <c r="II31" s="297"/>
      <c r="IJ31" s="297"/>
      <c r="IK31" s="297"/>
      <c r="IL31" s="297"/>
      <c r="IM31" s="297"/>
      <c r="IN31" s="207"/>
      <c r="IO31" s="207"/>
      <c r="IP31" s="297"/>
      <c r="IQ31" s="297"/>
      <c r="IR31" s="297"/>
      <c r="IS31" s="297"/>
      <c r="IT31" s="297"/>
      <c r="IU31" s="297"/>
      <c r="IV31" s="297"/>
    </row>
    <row r="32" spans="1:256" x14ac:dyDescent="0.2">
      <c r="A32" s="218"/>
      <c r="B32" s="219"/>
      <c r="C32" s="292"/>
      <c r="D32" s="292"/>
      <c r="E32" s="292"/>
      <c r="F32" s="292"/>
      <c r="G32" s="292"/>
      <c r="H32" s="292"/>
      <c r="I32" s="292"/>
      <c r="J32" s="292"/>
      <c r="K32" s="292"/>
      <c r="L32" s="292"/>
      <c r="M32" s="293"/>
      <c r="N32" s="223"/>
      <c r="O32" s="223"/>
      <c r="P32" s="299"/>
      <c r="Q32" s="299"/>
      <c r="R32" s="299"/>
      <c r="S32" s="299"/>
      <c r="T32" s="299"/>
      <c r="U32" s="299"/>
      <c r="V32" s="299"/>
      <c r="W32" s="299"/>
      <c r="X32" s="299"/>
      <c r="Y32" s="299"/>
      <c r="Z32" s="300"/>
      <c r="AA32" s="218"/>
      <c r="AB32" s="219"/>
      <c r="AC32" s="292"/>
      <c r="AD32" s="292"/>
      <c r="AE32" s="292"/>
      <c r="AF32" s="292"/>
      <c r="AG32" s="292"/>
      <c r="AH32" s="292"/>
      <c r="AI32" s="292"/>
      <c r="AJ32" s="292"/>
      <c r="AK32" s="292"/>
      <c r="AL32" s="292"/>
      <c r="AM32" s="293"/>
      <c r="AN32" s="218"/>
      <c r="AO32" s="219"/>
      <c r="AP32" s="292"/>
      <c r="AQ32" s="292"/>
      <c r="AR32" s="292"/>
      <c r="AS32" s="292"/>
      <c r="AT32" s="292"/>
      <c r="AU32" s="292"/>
      <c r="AV32" s="292"/>
      <c r="AW32" s="292"/>
      <c r="AX32" s="292"/>
      <c r="AY32" s="292"/>
      <c r="AZ32" s="293"/>
      <c r="BA32" s="218"/>
      <c r="BB32" s="219"/>
      <c r="BC32" s="292"/>
      <c r="BD32" s="292"/>
      <c r="BE32" s="292"/>
      <c r="BF32" s="292"/>
      <c r="BG32" s="292"/>
      <c r="BH32" s="292"/>
      <c r="BI32" s="292"/>
      <c r="BJ32" s="292"/>
      <c r="BK32" s="292"/>
      <c r="BL32" s="292"/>
      <c r="BM32" s="293"/>
      <c r="BN32" s="218"/>
      <c r="BO32" s="219"/>
      <c r="BP32" s="292"/>
      <c r="BQ32" s="292"/>
      <c r="BR32" s="292"/>
      <c r="BS32" s="292"/>
      <c r="BT32" s="292"/>
      <c r="BU32" s="292"/>
      <c r="BV32" s="292"/>
      <c r="BW32" s="292"/>
      <c r="BX32" s="292"/>
      <c r="BY32" s="292"/>
      <c r="BZ32" s="293"/>
      <c r="CA32" s="218"/>
      <c r="CB32" s="219"/>
      <c r="CC32" s="292"/>
      <c r="CD32" s="292"/>
      <c r="CE32" s="292"/>
      <c r="CF32" s="292"/>
      <c r="CG32" s="292"/>
      <c r="CH32" s="292"/>
      <c r="CI32" s="292"/>
      <c r="CJ32" s="292"/>
      <c r="CK32" s="292"/>
      <c r="CL32" s="292"/>
      <c r="CM32" s="293"/>
      <c r="CN32" s="218"/>
      <c r="CO32" s="219"/>
      <c r="CP32" s="292"/>
      <c r="CQ32" s="292"/>
      <c r="CR32" s="292"/>
      <c r="CS32" s="292"/>
      <c r="CT32" s="292"/>
      <c r="CU32" s="292"/>
      <c r="CV32" s="292"/>
      <c r="CW32" s="292"/>
      <c r="CX32" s="292"/>
      <c r="CY32" s="292"/>
      <c r="CZ32" s="293"/>
      <c r="DA32" s="218"/>
      <c r="DB32" s="219"/>
      <c r="DC32" s="292"/>
      <c r="DD32" s="292"/>
      <c r="DE32" s="292"/>
      <c r="DF32" s="292"/>
      <c r="DG32" s="292"/>
      <c r="DH32" s="292"/>
      <c r="DI32" s="292"/>
      <c r="DJ32" s="292"/>
      <c r="DK32" s="292"/>
      <c r="DL32" s="292"/>
      <c r="DM32" s="293"/>
      <c r="DN32" s="218"/>
      <c r="DO32" s="219"/>
      <c r="DP32" s="292"/>
      <c r="DQ32" s="292"/>
      <c r="DR32" s="292"/>
      <c r="DS32" s="292"/>
      <c r="DT32" s="292"/>
      <c r="DU32" s="292"/>
      <c r="DV32" s="292"/>
      <c r="DW32" s="292"/>
      <c r="DX32" s="292"/>
      <c r="DY32" s="292"/>
      <c r="DZ32" s="293"/>
      <c r="EA32" s="218"/>
      <c r="EB32" s="219"/>
      <c r="EC32" s="292"/>
      <c r="ED32" s="292"/>
      <c r="EE32" s="292"/>
      <c r="EF32" s="292"/>
      <c r="EG32" s="292"/>
      <c r="EH32" s="292"/>
      <c r="EI32" s="292"/>
      <c r="EJ32" s="292"/>
      <c r="EK32" s="292"/>
      <c r="EL32" s="292"/>
      <c r="EM32" s="293"/>
      <c r="EN32" s="218"/>
      <c r="EO32" s="219"/>
      <c r="EP32" s="292"/>
      <c r="EQ32" s="292"/>
      <c r="ER32" s="292"/>
      <c r="ES32" s="292"/>
      <c r="ET32" s="292"/>
      <c r="EU32" s="292"/>
      <c r="EV32" s="292"/>
      <c r="EW32" s="292"/>
      <c r="EX32" s="292"/>
      <c r="EY32" s="292"/>
      <c r="EZ32" s="293"/>
      <c r="FA32" s="218"/>
      <c r="FB32" s="219"/>
      <c r="FC32" s="292"/>
      <c r="FD32" s="292"/>
      <c r="FE32" s="292"/>
      <c r="FF32" s="292"/>
      <c r="FG32" s="292"/>
      <c r="FH32" s="292"/>
      <c r="FI32" s="292"/>
      <c r="FJ32" s="292"/>
      <c r="FK32" s="292"/>
      <c r="FL32" s="292"/>
      <c r="FM32" s="293"/>
      <c r="FN32" s="218"/>
      <c r="FO32" s="219"/>
      <c r="FP32" s="292"/>
      <c r="FQ32" s="292"/>
      <c r="FR32" s="292"/>
      <c r="FS32" s="292"/>
      <c r="FT32" s="292"/>
      <c r="FU32" s="292"/>
      <c r="FV32" s="292"/>
      <c r="FW32" s="292"/>
      <c r="FX32" s="292"/>
      <c r="FY32" s="292"/>
      <c r="FZ32" s="293"/>
      <c r="GA32" s="218"/>
      <c r="GB32" s="219"/>
      <c r="GC32" s="292"/>
      <c r="GD32" s="292"/>
      <c r="GE32" s="292"/>
      <c r="GF32" s="292"/>
      <c r="GG32" s="292"/>
      <c r="GH32" s="292"/>
      <c r="GI32" s="292"/>
      <c r="GJ32" s="292"/>
      <c r="GK32" s="292"/>
      <c r="GL32" s="292"/>
      <c r="GM32" s="293"/>
      <c r="GN32" s="218"/>
      <c r="GO32" s="219"/>
      <c r="GP32" s="292"/>
      <c r="GQ32" s="292"/>
      <c r="GR32" s="292"/>
      <c r="GS32" s="292"/>
      <c r="GT32" s="292"/>
      <c r="GU32" s="292"/>
      <c r="GV32" s="292"/>
      <c r="GW32" s="292"/>
      <c r="GX32" s="292"/>
      <c r="GY32" s="292"/>
      <c r="GZ32" s="293"/>
      <c r="HA32" s="218"/>
      <c r="HB32" s="219"/>
      <c r="HC32" s="292"/>
      <c r="HD32" s="292"/>
      <c r="HE32" s="292"/>
      <c r="HF32" s="292"/>
      <c r="HG32" s="292"/>
      <c r="HH32" s="292"/>
      <c r="HI32" s="292"/>
      <c r="HJ32" s="292"/>
      <c r="HK32" s="292"/>
      <c r="HL32" s="292"/>
      <c r="HM32" s="293"/>
      <c r="HN32" s="218"/>
      <c r="HO32" s="219"/>
      <c r="HP32" s="292"/>
      <c r="HQ32" s="292"/>
      <c r="HR32" s="292"/>
      <c r="HS32" s="292"/>
      <c r="HT32" s="292"/>
      <c r="HU32" s="292"/>
      <c r="HV32" s="292"/>
      <c r="HW32" s="292"/>
      <c r="HX32" s="292"/>
      <c r="HY32" s="292"/>
      <c r="HZ32" s="293"/>
      <c r="IA32" s="218"/>
      <c r="IB32" s="219"/>
      <c r="IC32" s="292"/>
      <c r="ID32" s="292"/>
      <c r="IE32" s="292"/>
      <c r="IF32" s="292"/>
      <c r="IG32" s="292"/>
      <c r="IH32" s="292"/>
      <c r="II32" s="292"/>
      <c r="IJ32" s="292"/>
      <c r="IK32" s="292"/>
      <c r="IL32" s="292"/>
      <c r="IM32" s="293"/>
      <c r="IN32" s="218"/>
      <c r="IO32" s="219"/>
      <c r="IP32" s="292"/>
      <c r="IQ32" s="292"/>
      <c r="IR32" s="292"/>
      <c r="IS32" s="292"/>
      <c r="IT32" s="292"/>
      <c r="IU32" s="292"/>
      <c r="IV32" s="292"/>
    </row>
    <row r="33" spans="1:256" x14ac:dyDescent="0.2">
      <c r="A33" s="218"/>
      <c r="B33" s="219"/>
      <c r="C33" s="292"/>
      <c r="D33" s="292"/>
      <c r="E33" s="292"/>
      <c r="F33" s="292"/>
      <c r="G33" s="292"/>
      <c r="H33" s="292"/>
      <c r="I33" s="292"/>
      <c r="J33" s="292"/>
      <c r="K33" s="292"/>
      <c r="L33" s="292"/>
      <c r="M33" s="293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92"/>
      <c r="D34" s="292"/>
      <c r="E34" s="292"/>
      <c r="F34" s="292"/>
      <c r="G34" s="292"/>
      <c r="H34" s="292"/>
      <c r="I34" s="292"/>
      <c r="J34" s="292"/>
      <c r="K34" s="292"/>
      <c r="L34" s="292"/>
      <c r="M34" s="293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92"/>
      <c r="D35" s="292"/>
      <c r="E35" s="292"/>
      <c r="F35" s="292"/>
      <c r="G35" s="292"/>
      <c r="H35" s="292"/>
      <c r="I35" s="292"/>
      <c r="J35" s="292"/>
      <c r="K35" s="292"/>
      <c r="L35" s="292"/>
      <c r="M35" s="293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92"/>
      <c r="D36" s="292"/>
      <c r="E36" s="292"/>
      <c r="F36" s="292"/>
      <c r="G36" s="292"/>
      <c r="H36" s="292"/>
      <c r="I36" s="292"/>
      <c r="J36" s="292"/>
      <c r="K36" s="292"/>
      <c r="L36" s="292"/>
      <c r="M36" s="293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92"/>
      <c r="D37" s="292"/>
      <c r="E37" s="292"/>
      <c r="F37" s="292"/>
      <c r="G37" s="292"/>
      <c r="H37" s="292"/>
      <c r="I37" s="292"/>
      <c r="J37" s="292"/>
      <c r="K37" s="292"/>
      <c r="L37" s="292"/>
      <c r="M37" s="293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92"/>
      <c r="D38" s="292"/>
      <c r="E38" s="292"/>
      <c r="F38" s="292"/>
      <c r="G38" s="292"/>
      <c r="H38" s="292"/>
      <c r="I38" s="292"/>
      <c r="J38" s="292"/>
      <c r="K38" s="292"/>
      <c r="L38" s="292"/>
      <c r="M38" s="293"/>
      <c r="N38" s="211"/>
      <c r="O38" s="211"/>
      <c r="P38" s="298"/>
      <c r="Q38" s="298"/>
      <c r="R38" s="298"/>
      <c r="S38" s="298"/>
      <c r="T38" s="298"/>
      <c r="U38" s="298"/>
      <c r="V38" s="298"/>
      <c r="W38" s="298"/>
      <c r="X38" s="298"/>
      <c r="Y38" s="298"/>
      <c r="Z38" s="298"/>
      <c r="AA38" s="207"/>
      <c r="AB38" s="207"/>
      <c r="AC38" s="297"/>
      <c r="AD38" s="297"/>
      <c r="AE38" s="297"/>
      <c r="AF38" s="297"/>
      <c r="AG38" s="297"/>
      <c r="AH38" s="297"/>
      <c r="AI38" s="297"/>
      <c r="AJ38" s="297"/>
      <c r="AK38" s="297"/>
      <c r="AL38" s="297"/>
      <c r="AM38" s="297"/>
      <c r="AN38" s="207"/>
      <c r="AO38" s="207"/>
      <c r="AP38" s="297"/>
      <c r="AQ38" s="297"/>
      <c r="AR38" s="297"/>
      <c r="AS38" s="297"/>
      <c r="AT38" s="297"/>
      <c r="AU38" s="297"/>
      <c r="AV38" s="297"/>
      <c r="AW38" s="297"/>
      <c r="AX38" s="297"/>
      <c r="AY38" s="297"/>
      <c r="AZ38" s="297"/>
      <c r="BA38" s="207"/>
      <c r="BB38" s="207"/>
      <c r="BC38" s="297"/>
      <c r="BD38" s="297"/>
      <c r="BE38" s="297"/>
      <c r="BF38" s="297"/>
      <c r="BG38" s="297"/>
      <c r="BH38" s="297"/>
      <c r="BI38" s="297"/>
      <c r="BJ38" s="297"/>
      <c r="BK38" s="297"/>
      <c r="BL38" s="297"/>
      <c r="BM38" s="297"/>
      <c r="BN38" s="207"/>
      <c r="BO38" s="207"/>
      <c r="BP38" s="297"/>
      <c r="BQ38" s="297"/>
      <c r="BR38" s="297"/>
      <c r="BS38" s="297"/>
      <c r="BT38" s="297"/>
      <c r="BU38" s="297"/>
      <c r="BV38" s="297"/>
      <c r="BW38" s="297"/>
      <c r="BX38" s="297"/>
      <c r="BY38" s="297"/>
      <c r="BZ38" s="297"/>
      <c r="CA38" s="207"/>
      <c r="CB38" s="207"/>
      <c r="CC38" s="297"/>
      <c r="CD38" s="297"/>
      <c r="CE38" s="297"/>
      <c r="CF38" s="297"/>
      <c r="CG38" s="297"/>
      <c r="CH38" s="297"/>
      <c r="CI38" s="297"/>
      <c r="CJ38" s="297"/>
      <c r="CK38" s="297"/>
      <c r="CL38" s="297"/>
      <c r="CM38" s="297"/>
      <c r="CN38" s="207"/>
      <c r="CO38" s="207"/>
      <c r="CP38" s="297"/>
      <c r="CQ38" s="297"/>
      <c r="CR38" s="297"/>
      <c r="CS38" s="297"/>
      <c r="CT38" s="297"/>
      <c r="CU38" s="297"/>
      <c r="CV38" s="297"/>
      <c r="CW38" s="297"/>
      <c r="CX38" s="297"/>
      <c r="CY38" s="297"/>
      <c r="CZ38" s="297"/>
      <c r="DA38" s="207"/>
      <c r="DB38" s="207"/>
      <c r="DC38" s="297"/>
      <c r="DD38" s="297"/>
      <c r="DE38" s="297"/>
      <c r="DF38" s="297"/>
      <c r="DG38" s="297"/>
      <c r="DH38" s="297"/>
      <c r="DI38" s="297"/>
      <c r="DJ38" s="297"/>
      <c r="DK38" s="297"/>
      <c r="DL38" s="297"/>
      <c r="DM38" s="297"/>
      <c r="DN38" s="207"/>
      <c r="DO38" s="207"/>
      <c r="DP38" s="297"/>
      <c r="DQ38" s="297"/>
      <c r="DR38" s="297"/>
      <c r="DS38" s="297"/>
      <c r="DT38" s="297"/>
      <c r="DU38" s="297"/>
      <c r="DV38" s="297"/>
      <c r="DW38" s="297"/>
      <c r="DX38" s="297"/>
      <c r="DY38" s="297"/>
      <c r="DZ38" s="297"/>
      <c r="EA38" s="207"/>
      <c r="EB38" s="207"/>
      <c r="EC38" s="297"/>
      <c r="ED38" s="297"/>
      <c r="EE38" s="297"/>
      <c r="EF38" s="297"/>
      <c r="EG38" s="297"/>
      <c r="EH38" s="297"/>
      <c r="EI38" s="297"/>
      <c r="EJ38" s="297"/>
      <c r="EK38" s="297"/>
      <c r="EL38" s="297"/>
      <c r="EM38" s="297"/>
      <c r="EN38" s="207"/>
      <c r="EO38" s="207"/>
      <c r="EP38" s="297"/>
      <c r="EQ38" s="297"/>
      <c r="ER38" s="297"/>
      <c r="ES38" s="297"/>
      <c r="ET38" s="297"/>
      <c r="EU38" s="297"/>
      <c r="EV38" s="297"/>
      <c r="EW38" s="297"/>
      <c r="EX38" s="297"/>
      <c r="EY38" s="297"/>
      <c r="EZ38" s="297"/>
      <c r="FA38" s="207"/>
      <c r="FB38" s="207"/>
      <c r="FC38" s="297"/>
      <c r="FD38" s="297"/>
      <c r="FE38" s="297"/>
      <c r="FF38" s="297"/>
      <c r="FG38" s="297"/>
      <c r="FH38" s="297"/>
      <c r="FI38" s="297"/>
      <c r="FJ38" s="297"/>
      <c r="FK38" s="297"/>
      <c r="FL38" s="297"/>
      <c r="FM38" s="297"/>
      <c r="FN38" s="207"/>
      <c r="FO38" s="207"/>
      <c r="FP38" s="297"/>
      <c r="FQ38" s="297"/>
      <c r="FR38" s="297"/>
      <c r="FS38" s="297"/>
      <c r="FT38" s="297"/>
      <c r="FU38" s="297"/>
      <c r="FV38" s="297"/>
      <c r="FW38" s="297"/>
      <c r="FX38" s="297"/>
      <c r="FY38" s="297"/>
      <c r="FZ38" s="297"/>
      <c r="GA38" s="207"/>
      <c r="GB38" s="207"/>
      <c r="GC38" s="297"/>
      <c r="GD38" s="297"/>
      <c r="GE38" s="297"/>
      <c r="GF38" s="297"/>
      <c r="GG38" s="297"/>
      <c r="GH38" s="297"/>
      <c r="GI38" s="297"/>
      <c r="GJ38" s="297"/>
      <c r="GK38" s="297"/>
      <c r="GL38" s="297"/>
      <c r="GM38" s="297"/>
      <c r="GN38" s="207"/>
      <c r="GO38" s="207"/>
      <c r="GP38" s="297"/>
      <c r="GQ38" s="297"/>
      <c r="GR38" s="297"/>
      <c r="GS38" s="297"/>
      <c r="GT38" s="297"/>
      <c r="GU38" s="297"/>
      <c r="GV38" s="297"/>
      <c r="GW38" s="297"/>
      <c r="GX38" s="297"/>
      <c r="GY38" s="297"/>
      <c r="GZ38" s="297"/>
      <c r="HA38" s="207"/>
      <c r="HB38" s="207"/>
      <c r="HC38" s="297"/>
      <c r="HD38" s="297"/>
      <c r="HE38" s="297"/>
      <c r="HF38" s="297"/>
      <c r="HG38" s="297"/>
      <c r="HH38" s="297"/>
      <c r="HI38" s="297"/>
      <c r="HJ38" s="297"/>
      <c r="HK38" s="297"/>
      <c r="HL38" s="297"/>
      <c r="HM38" s="297"/>
      <c r="HN38" s="207"/>
      <c r="HO38" s="207"/>
      <c r="HP38" s="297"/>
      <c r="HQ38" s="297"/>
      <c r="HR38" s="297"/>
      <c r="HS38" s="297"/>
      <c r="HT38" s="297"/>
      <c r="HU38" s="297"/>
      <c r="HV38" s="297"/>
      <c r="HW38" s="297"/>
      <c r="HX38" s="297"/>
      <c r="HY38" s="297"/>
      <c r="HZ38" s="297"/>
      <c r="IA38" s="207"/>
      <c r="IB38" s="207"/>
      <c r="IC38" s="297"/>
      <c r="ID38" s="297"/>
      <c r="IE38" s="297"/>
      <c r="IF38" s="297"/>
      <c r="IG38" s="297"/>
      <c r="IH38" s="297"/>
      <c r="II38" s="297"/>
      <c r="IJ38" s="297"/>
      <c r="IK38" s="297"/>
      <c r="IL38" s="297"/>
      <c r="IM38" s="297"/>
      <c r="IN38" s="207"/>
      <c r="IO38" s="207"/>
      <c r="IP38" s="297"/>
      <c r="IQ38" s="297"/>
      <c r="IR38" s="297"/>
      <c r="IS38" s="297"/>
      <c r="IT38" s="297"/>
      <c r="IU38" s="297"/>
      <c r="IV38" s="297"/>
    </row>
    <row r="39" spans="1:256" x14ac:dyDescent="0.2">
      <c r="A39" s="218"/>
      <c r="B39" s="219"/>
      <c r="C39" s="292"/>
      <c r="D39" s="292"/>
      <c r="E39" s="292"/>
      <c r="F39" s="292"/>
      <c r="G39" s="292"/>
      <c r="H39" s="292"/>
      <c r="I39" s="292"/>
      <c r="J39" s="292"/>
      <c r="K39" s="292"/>
      <c r="L39" s="292"/>
      <c r="M39" s="293"/>
      <c r="N39" s="211"/>
      <c r="O39" s="211"/>
      <c r="P39" s="298"/>
      <c r="Q39" s="298"/>
      <c r="R39" s="298"/>
      <c r="S39" s="298"/>
      <c r="T39" s="298"/>
      <c r="U39" s="298"/>
      <c r="V39" s="298"/>
      <c r="W39" s="298"/>
      <c r="X39" s="298"/>
      <c r="Y39" s="298"/>
      <c r="Z39" s="298"/>
      <c r="AA39" s="207"/>
      <c r="AB39" s="207"/>
      <c r="AC39" s="297"/>
      <c r="AD39" s="297"/>
      <c r="AE39" s="297"/>
      <c r="AF39" s="297"/>
      <c r="AG39" s="297"/>
      <c r="AH39" s="297"/>
      <c r="AI39" s="297"/>
      <c r="AJ39" s="297"/>
      <c r="AK39" s="297"/>
      <c r="AL39" s="297"/>
      <c r="AM39" s="297"/>
      <c r="AN39" s="207"/>
      <c r="AO39" s="207"/>
      <c r="AP39" s="297"/>
      <c r="AQ39" s="297"/>
      <c r="AR39" s="297"/>
      <c r="AS39" s="297"/>
      <c r="AT39" s="297"/>
      <c r="AU39" s="297"/>
      <c r="AV39" s="297"/>
      <c r="AW39" s="297"/>
      <c r="AX39" s="297"/>
      <c r="AY39" s="297"/>
      <c r="AZ39" s="297"/>
      <c r="BA39" s="207"/>
      <c r="BB39" s="207"/>
      <c r="BC39" s="297"/>
      <c r="BD39" s="297"/>
      <c r="BE39" s="297"/>
      <c r="BF39" s="297"/>
      <c r="BG39" s="297"/>
      <c r="BH39" s="297"/>
      <c r="BI39" s="297"/>
      <c r="BJ39" s="297"/>
      <c r="BK39" s="297"/>
      <c r="BL39" s="297"/>
      <c r="BM39" s="297"/>
      <c r="BN39" s="207"/>
      <c r="BO39" s="207"/>
      <c r="BP39" s="297"/>
      <c r="BQ39" s="297"/>
      <c r="BR39" s="297"/>
      <c r="BS39" s="297"/>
      <c r="BT39" s="297"/>
      <c r="BU39" s="297"/>
      <c r="BV39" s="297"/>
      <c r="BW39" s="297"/>
      <c r="BX39" s="297"/>
      <c r="BY39" s="297"/>
      <c r="BZ39" s="297"/>
      <c r="CA39" s="207"/>
      <c r="CB39" s="207"/>
      <c r="CC39" s="297"/>
      <c r="CD39" s="297"/>
      <c r="CE39" s="297"/>
      <c r="CF39" s="297"/>
      <c r="CG39" s="297"/>
      <c r="CH39" s="297"/>
      <c r="CI39" s="297"/>
      <c r="CJ39" s="297"/>
      <c r="CK39" s="297"/>
      <c r="CL39" s="297"/>
      <c r="CM39" s="297"/>
      <c r="CN39" s="207"/>
      <c r="CO39" s="207"/>
      <c r="CP39" s="297"/>
      <c r="CQ39" s="297"/>
      <c r="CR39" s="297"/>
      <c r="CS39" s="297"/>
      <c r="CT39" s="297"/>
      <c r="CU39" s="297"/>
      <c r="CV39" s="297"/>
      <c r="CW39" s="297"/>
      <c r="CX39" s="297"/>
      <c r="CY39" s="297"/>
      <c r="CZ39" s="297"/>
      <c r="DA39" s="207"/>
      <c r="DB39" s="207"/>
      <c r="DC39" s="297"/>
      <c r="DD39" s="297"/>
      <c r="DE39" s="297"/>
      <c r="DF39" s="297"/>
      <c r="DG39" s="297"/>
      <c r="DH39" s="297"/>
      <c r="DI39" s="297"/>
      <c r="DJ39" s="297"/>
      <c r="DK39" s="297"/>
      <c r="DL39" s="297"/>
      <c r="DM39" s="297"/>
      <c r="DN39" s="207"/>
      <c r="DO39" s="207"/>
      <c r="DP39" s="297"/>
      <c r="DQ39" s="297"/>
      <c r="DR39" s="297"/>
      <c r="DS39" s="297"/>
      <c r="DT39" s="297"/>
      <c r="DU39" s="297"/>
      <c r="DV39" s="297"/>
      <c r="DW39" s="297"/>
      <c r="DX39" s="297"/>
      <c r="DY39" s="297"/>
      <c r="DZ39" s="297"/>
      <c r="EA39" s="207"/>
      <c r="EB39" s="207"/>
      <c r="EC39" s="297"/>
      <c r="ED39" s="297"/>
      <c r="EE39" s="297"/>
      <c r="EF39" s="297"/>
      <c r="EG39" s="297"/>
      <c r="EH39" s="297"/>
      <c r="EI39" s="297"/>
      <c r="EJ39" s="297"/>
      <c r="EK39" s="297"/>
      <c r="EL39" s="297"/>
      <c r="EM39" s="297"/>
      <c r="EN39" s="207"/>
      <c r="EO39" s="207"/>
      <c r="EP39" s="297"/>
      <c r="EQ39" s="297"/>
      <c r="ER39" s="297"/>
      <c r="ES39" s="297"/>
      <c r="ET39" s="297"/>
      <c r="EU39" s="297"/>
      <c r="EV39" s="297"/>
      <c r="EW39" s="297"/>
      <c r="EX39" s="297"/>
      <c r="EY39" s="297"/>
      <c r="EZ39" s="297"/>
      <c r="FA39" s="207"/>
      <c r="FB39" s="207"/>
      <c r="FC39" s="297"/>
      <c r="FD39" s="297"/>
      <c r="FE39" s="297"/>
      <c r="FF39" s="297"/>
      <c r="FG39" s="297"/>
      <c r="FH39" s="297"/>
      <c r="FI39" s="297"/>
      <c r="FJ39" s="297"/>
      <c r="FK39" s="297"/>
      <c r="FL39" s="297"/>
      <c r="FM39" s="297"/>
      <c r="FN39" s="207"/>
      <c r="FO39" s="207"/>
      <c r="FP39" s="297"/>
      <c r="FQ39" s="297"/>
      <c r="FR39" s="297"/>
      <c r="FS39" s="297"/>
      <c r="FT39" s="297"/>
      <c r="FU39" s="297"/>
      <c r="FV39" s="297"/>
      <c r="FW39" s="297"/>
      <c r="FX39" s="297"/>
      <c r="FY39" s="297"/>
      <c r="FZ39" s="297"/>
      <c r="GA39" s="207"/>
      <c r="GB39" s="207"/>
      <c r="GC39" s="297"/>
      <c r="GD39" s="297"/>
      <c r="GE39" s="297"/>
      <c r="GF39" s="297"/>
      <c r="GG39" s="297"/>
      <c r="GH39" s="297"/>
      <c r="GI39" s="297"/>
      <c r="GJ39" s="297"/>
      <c r="GK39" s="297"/>
      <c r="GL39" s="297"/>
      <c r="GM39" s="297"/>
      <c r="GN39" s="207"/>
      <c r="GO39" s="207"/>
      <c r="GP39" s="297"/>
      <c r="GQ39" s="297"/>
      <c r="GR39" s="297"/>
      <c r="GS39" s="297"/>
      <c r="GT39" s="297"/>
      <c r="GU39" s="297"/>
      <c r="GV39" s="297"/>
      <c r="GW39" s="297"/>
      <c r="GX39" s="297"/>
      <c r="GY39" s="297"/>
      <c r="GZ39" s="297"/>
      <c r="HA39" s="207"/>
      <c r="HB39" s="207"/>
      <c r="HC39" s="297"/>
      <c r="HD39" s="297"/>
      <c r="HE39" s="297"/>
      <c r="HF39" s="297"/>
      <c r="HG39" s="297"/>
      <c r="HH39" s="297"/>
      <c r="HI39" s="297"/>
      <c r="HJ39" s="297"/>
      <c r="HK39" s="297"/>
      <c r="HL39" s="297"/>
      <c r="HM39" s="297"/>
      <c r="HN39" s="207"/>
      <c r="HO39" s="207"/>
      <c r="HP39" s="297"/>
      <c r="HQ39" s="297"/>
      <c r="HR39" s="297"/>
      <c r="HS39" s="297"/>
      <c r="HT39" s="297"/>
      <c r="HU39" s="297"/>
      <c r="HV39" s="297"/>
      <c r="HW39" s="297"/>
      <c r="HX39" s="297"/>
      <c r="HY39" s="297"/>
      <c r="HZ39" s="297"/>
      <c r="IA39" s="207"/>
      <c r="IB39" s="207"/>
      <c r="IC39" s="297"/>
      <c r="ID39" s="297"/>
      <c r="IE39" s="297"/>
      <c r="IF39" s="297"/>
      <c r="IG39" s="297"/>
      <c r="IH39" s="297"/>
      <c r="II39" s="297"/>
      <c r="IJ39" s="297"/>
      <c r="IK39" s="297"/>
      <c r="IL39" s="297"/>
      <c r="IM39" s="297"/>
      <c r="IN39" s="207"/>
      <c r="IO39" s="207"/>
      <c r="IP39" s="297"/>
      <c r="IQ39" s="297"/>
      <c r="IR39" s="297"/>
      <c r="IS39" s="297"/>
      <c r="IT39" s="297"/>
      <c r="IU39" s="297"/>
      <c r="IV39" s="297"/>
    </row>
    <row r="40" spans="1:256" x14ac:dyDescent="0.2">
      <c r="A40" s="218"/>
      <c r="B40" s="219"/>
      <c r="C40" s="292"/>
      <c r="D40" s="292"/>
      <c r="E40" s="292"/>
      <c r="F40" s="292"/>
      <c r="G40" s="292"/>
      <c r="H40" s="292"/>
      <c r="I40" s="292"/>
      <c r="J40" s="292"/>
      <c r="K40" s="292"/>
      <c r="L40" s="292"/>
      <c r="M40" s="293"/>
      <c r="N40" s="211"/>
      <c r="O40" s="211"/>
      <c r="P40" s="298"/>
      <c r="Q40" s="298"/>
      <c r="R40" s="298"/>
      <c r="S40" s="298"/>
      <c r="T40" s="298"/>
      <c r="U40" s="298"/>
      <c r="V40" s="298"/>
      <c r="W40" s="298"/>
      <c r="X40" s="298"/>
      <c r="Y40" s="298"/>
      <c r="Z40" s="298"/>
      <c r="AA40" s="207"/>
      <c r="AB40" s="207"/>
      <c r="AC40" s="297"/>
      <c r="AD40" s="297"/>
      <c r="AE40" s="297"/>
      <c r="AF40" s="297"/>
      <c r="AG40" s="297"/>
      <c r="AH40" s="297"/>
      <c r="AI40" s="297"/>
      <c r="AJ40" s="297"/>
      <c r="AK40" s="297"/>
      <c r="AL40" s="297"/>
      <c r="AM40" s="297"/>
      <c r="AN40" s="207"/>
      <c r="AO40" s="207"/>
      <c r="AP40" s="297"/>
      <c r="AQ40" s="297"/>
      <c r="AR40" s="297"/>
      <c r="AS40" s="297"/>
      <c r="AT40" s="297"/>
      <c r="AU40" s="297"/>
      <c r="AV40" s="297"/>
      <c r="AW40" s="297"/>
      <c r="AX40" s="297"/>
      <c r="AY40" s="297"/>
      <c r="AZ40" s="297"/>
      <c r="BA40" s="207"/>
      <c r="BB40" s="207"/>
      <c r="BC40" s="297"/>
      <c r="BD40" s="297"/>
      <c r="BE40" s="297"/>
      <c r="BF40" s="297"/>
      <c r="BG40" s="297"/>
      <c r="BH40" s="297"/>
      <c r="BI40" s="297"/>
      <c r="BJ40" s="297"/>
      <c r="BK40" s="297"/>
      <c r="BL40" s="297"/>
      <c r="BM40" s="297"/>
      <c r="BN40" s="207"/>
      <c r="BO40" s="207"/>
      <c r="BP40" s="297"/>
      <c r="BQ40" s="297"/>
      <c r="BR40" s="297"/>
      <c r="BS40" s="297"/>
      <c r="BT40" s="297"/>
      <c r="BU40" s="297"/>
      <c r="BV40" s="297"/>
      <c r="BW40" s="297"/>
      <c r="BX40" s="297"/>
      <c r="BY40" s="297"/>
      <c r="BZ40" s="297"/>
      <c r="CA40" s="207"/>
      <c r="CB40" s="207"/>
      <c r="CC40" s="297"/>
      <c r="CD40" s="297"/>
      <c r="CE40" s="297"/>
      <c r="CF40" s="297"/>
      <c r="CG40" s="297"/>
      <c r="CH40" s="297"/>
      <c r="CI40" s="297"/>
      <c r="CJ40" s="297"/>
      <c r="CK40" s="297"/>
      <c r="CL40" s="297"/>
      <c r="CM40" s="297"/>
      <c r="CN40" s="207"/>
      <c r="CO40" s="207"/>
      <c r="CP40" s="297"/>
      <c r="CQ40" s="297"/>
      <c r="CR40" s="297"/>
      <c r="CS40" s="297"/>
      <c r="CT40" s="297"/>
      <c r="CU40" s="297"/>
      <c r="CV40" s="297"/>
      <c r="CW40" s="297"/>
      <c r="CX40" s="297"/>
      <c r="CY40" s="297"/>
      <c r="CZ40" s="297"/>
      <c r="DA40" s="207"/>
      <c r="DB40" s="207"/>
      <c r="DC40" s="297"/>
      <c r="DD40" s="297"/>
      <c r="DE40" s="297"/>
      <c r="DF40" s="297"/>
      <c r="DG40" s="297"/>
      <c r="DH40" s="297"/>
      <c r="DI40" s="297"/>
      <c r="DJ40" s="297"/>
      <c r="DK40" s="297"/>
      <c r="DL40" s="297"/>
      <c r="DM40" s="297"/>
      <c r="DN40" s="207"/>
      <c r="DO40" s="207"/>
      <c r="DP40" s="297"/>
      <c r="DQ40" s="297"/>
      <c r="DR40" s="297"/>
      <c r="DS40" s="297"/>
      <c r="DT40" s="297"/>
      <c r="DU40" s="297"/>
      <c r="DV40" s="297"/>
      <c r="DW40" s="297"/>
      <c r="DX40" s="297"/>
      <c r="DY40" s="297"/>
      <c r="DZ40" s="297"/>
      <c r="EA40" s="207"/>
      <c r="EB40" s="207"/>
      <c r="EC40" s="297"/>
      <c r="ED40" s="297"/>
      <c r="EE40" s="297"/>
      <c r="EF40" s="297"/>
      <c r="EG40" s="297"/>
      <c r="EH40" s="297"/>
      <c r="EI40" s="297"/>
      <c r="EJ40" s="297"/>
      <c r="EK40" s="297"/>
      <c r="EL40" s="297"/>
      <c r="EM40" s="297"/>
      <c r="EN40" s="207"/>
      <c r="EO40" s="207"/>
      <c r="EP40" s="297"/>
      <c r="EQ40" s="297"/>
      <c r="ER40" s="297"/>
      <c r="ES40" s="297"/>
      <c r="ET40" s="297"/>
      <c r="EU40" s="297"/>
      <c r="EV40" s="297"/>
      <c r="EW40" s="297"/>
      <c r="EX40" s="297"/>
      <c r="EY40" s="297"/>
      <c r="EZ40" s="297"/>
      <c r="FA40" s="207"/>
      <c r="FB40" s="207"/>
      <c r="FC40" s="297"/>
      <c r="FD40" s="297"/>
      <c r="FE40" s="297"/>
      <c r="FF40" s="297"/>
      <c r="FG40" s="297"/>
      <c r="FH40" s="297"/>
      <c r="FI40" s="297"/>
      <c r="FJ40" s="297"/>
      <c r="FK40" s="297"/>
      <c r="FL40" s="297"/>
      <c r="FM40" s="297"/>
      <c r="FN40" s="207"/>
      <c r="FO40" s="207"/>
      <c r="FP40" s="297"/>
      <c r="FQ40" s="297"/>
      <c r="FR40" s="297"/>
      <c r="FS40" s="297"/>
      <c r="FT40" s="297"/>
      <c r="FU40" s="297"/>
      <c r="FV40" s="297"/>
      <c r="FW40" s="297"/>
      <c r="FX40" s="297"/>
      <c r="FY40" s="297"/>
      <c r="FZ40" s="297"/>
      <c r="GA40" s="207"/>
      <c r="GB40" s="207"/>
      <c r="GC40" s="297"/>
      <c r="GD40" s="297"/>
      <c r="GE40" s="297"/>
      <c r="GF40" s="297"/>
      <c r="GG40" s="297"/>
      <c r="GH40" s="297"/>
      <c r="GI40" s="297"/>
      <c r="GJ40" s="297"/>
      <c r="GK40" s="297"/>
      <c r="GL40" s="297"/>
      <c r="GM40" s="297"/>
      <c r="GN40" s="207"/>
      <c r="GO40" s="207"/>
      <c r="GP40" s="297"/>
      <c r="GQ40" s="297"/>
      <c r="GR40" s="297"/>
      <c r="GS40" s="297"/>
      <c r="GT40" s="297"/>
      <c r="GU40" s="297"/>
      <c r="GV40" s="297"/>
      <c r="GW40" s="297"/>
      <c r="GX40" s="297"/>
      <c r="GY40" s="297"/>
      <c r="GZ40" s="297"/>
      <c r="HA40" s="207"/>
      <c r="HB40" s="207"/>
      <c r="HC40" s="297"/>
      <c r="HD40" s="297"/>
      <c r="HE40" s="297"/>
      <c r="HF40" s="297"/>
      <c r="HG40" s="297"/>
      <c r="HH40" s="297"/>
      <c r="HI40" s="297"/>
      <c r="HJ40" s="297"/>
      <c r="HK40" s="297"/>
      <c r="HL40" s="297"/>
      <c r="HM40" s="297"/>
      <c r="HN40" s="207"/>
      <c r="HO40" s="207"/>
      <c r="HP40" s="297"/>
      <c r="HQ40" s="297"/>
      <c r="HR40" s="297"/>
      <c r="HS40" s="297"/>
      <c r="HT40" s="297"/>
      <c r="HU40" s="297"/>
      <c r="HV40" s="297"/>
      <c r="HW40" s="297"/>
      <c r="HX40" s="297"/>
      <c r="HY40" s="297"/>
      <c r="HZ40" s="297"/>
      <c r="IA40" s="207"/>
      <c r="IB40" s="207"/>
      <c r="IC40" s="297"/>
      <c r="ID40" s="297"/>
      <c r="IE40" s="297"/>
      <c r="IF40" s="297"/>
      <c r="IG40" s="297"/>
      <c r="IH40" s="297"/>
      <c r="II40" s="297"/>
      <c r="IJ40" s="297"/>
      <c r="IK40" s="297"/>
      <c r="IL40" s="297"/>
      <c r="IM40" s="297"/>
      <c r="IN40" s="207"/>
      <c r="IO40" s="207"/>
      <c r="IP40" s="297"/>
      <c r="IQ40" s="297"/>
      <c r="IR40" s="297"/>
      <c r="IS40" s="297"/>
      <c r="IT40" s="297"/>
      <c r="IU40" s="297"/>
      <c r="IV40" s="297"/>
    </row>
    <row r="41" spans="1:256" x14ac:dyDescent="0.2">
      <c r="A41" s="218"/>
      <c r="B41" s="219"/>
      <c r="C41" s="292"/>
      <c r="D41" s="292"/>
      <c r="E41" s="292"/>
      <c r="F41" s="292"/>
      <c r="G41" s="292"/>
      <c r="H41" s="292"/>
      <c r="I41" s="292"/>
      <c r="J41" s="292"/>
      <c r="K41" s="292"/>
      <c r="L41" s="292"/>
      <c r="M41" s="293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92"/>
      <c r="D42" s="292"/>
      <c r="E42" s="292"/>
      <c r="F42" s="292"/>
      <c r="G42" s="292"/>
      <c r="H42" s="292"/>
      <c r="I42" s="292"/>
      <c r="J42" s="292"/>
      <c r="K42" s="292"/>
      <c r="L42" s="292"/>
      <c r="M42" s="293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92"/>
      <c r="D43" s="292"/>
      <c r="E43" s="292"/>
      <c r="F43" s="292"/>
      <c r="G43" s="292"/>
      <c r="H43" s="292"/>
      <c r="I43" s="292"/>
      <c r="J43" s="292"/>
      <c r="K43" s="292"/>
      <c r="L43" s="292"/>
      <c r="M43" s="293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92"/>
      <c r="D44" s="292"/>
      <c r="E44" s="292"/>
      <c r="F44" s="292"/>
      <c r="G44" s="292"/>
      <c r="H44" s="292"/>
      <c r="I44" s="292"/>
      <c r="J44" s="292"/>
      <c r="K44" s="292"/>
      <c r="L44" s="292"/>
      <c r="M44" s="293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92"/>
      <c r="D45" s="292"/>
      <c r="E45" s="292"/>
      <c r="F45" s="292"/>
      <c r="G45" s="292"/>
      <c r="H45" s="292"/>
      <c r="I45" s="292"/>
      <c r="J45" s="292"/>
      <c r="K45" s="292"/>
      <c r="L45" s="292"/>
      <c r="M45" s="293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92"/>
      <c r="D46" s="292"/>
      <c r="E46" s="292"/>
      <c r="F46" s="292"/>
      <c r="G46" s="292"/>
      <c r="H46" s="292"/>
      <c r="I46" s="292"/>
      <c r="J46" s="292"/>
      <c r="K46" s="292"/>
      <c r="L46" s="292"/>
      <c r="M46" s="293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92"/>
      <c r="D47" s="292"/>
      <c r="E47" s="292"/>
      <c r="F47" s="292"/>
      <c r="G47" s="292"/>
      <c r="H47" s="292"/>
      <c r="I47" s="292"/>
      <c r="J47" s="292"/>
      <c r="K47" s="292"/>
      <c r="L47" s="292"/>
      <c r="M47" s="293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92"/>
      <c r="D48" s="292"/>
      <c r="E48" s="292"/>
      <c r="F48" s="292"/>
      <c r="G48" s="292"/>
      <c r="H48" s="292"/>
      <c r="I48" s="292"/>
      <c r="J48" s="292"/>
      <c r="K48" s="292"/>
      <c r="L48" s="292"/>
      <c r="M48" s="293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92"/>
      <c r="D49" s="292"/>
      <c r="E49" s="292"/>
      <c r="F49" s="292"/>
      <c r="G49" s="292"/>
      <c r="H49" s="292"/>
      <c r="I49" s="292"/>
      <c r="J49" s="292"/>
      <c r="K49" s="292"/>
      <c r="L49" s="292"/>
      <c r="M49" s="293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92"/>
      <c r="D50" s="292"/>
      <c r="E50" s="292"/>
      <c r="F50" s="292"/>
      <c r="G50" s="292"/>
      <c r="H50" s="292"/>
      <c r="I50" s="292"/>
      <c r="J50" s="292"/>
      <c r="K50" s="292"/>
      <c r="L50" s="292"/>
      <c r="M50" s="293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92"/>
      <c r="D51" s="292"/>
      <c r="E51" s="292"/>
      <c r="F51" s="292"/>
      <c r="G51" s="292"/>
      <c r="H51" s="292"/>
      <c r="I51" s="292"/>
      <c r="J51" s="292"/>
      <c r="K51" s="292"/>
      <c r="L51" s="292"/>
      <c r="M51" s="293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92"/>
      <c r="D52" s="292"/>
      <c r="E52" s="292"/>
      <c r="F52" s="292"/>
      <c r="G52" s="292"/>
      <c r="H52" s="292"/>
      <c r="I52" s="292"/>
      <c r="J52" s="292"/>
      <c r="K52" s="292"/>
      <c r="L52" s="292"/>
      <c r="M52" s="293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92"/>
      <c r="D53" s="292"/>
      <c r="E53" s="292"/>
      <c r="F53" s="292"/>
      <c r="G53" s="292"/>
      <c r="H53" s="292"/>
      <c r="I53" s="292"/>
      <c r="J53" s="292"/>
      <c r="K53" s="292"/>
      <c r="L53" s="292"/>
      <c r="M53" s="293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92"/>
      <c r="D54" s="292"/>
      <c r="E54" s="292"/>
      <c r="F54" s="292"/>
      <c r="G54" s="292"/>
      <c r="H54" s="292"/>
      <c r="I54" s="292"/>
      <c r="J54" s="292"/>
      <c r="K54" s="292"/>
      <c r="L54" s="292"/>
      <c r="M54" s="293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92"/>
      <c r="D55" s="292"/>
      <c r="E55" s="292"/>
      <c r="F55" s="292"/>
      <c r="G55" s="292"/>
      <c r="H55" s="292"/>
      <c r="I55" s="292"/>
      <c r="J55" s="292"/>
      <c r="K55" s="292"/>
      <c r="L55" s="292"/>
      <c r="M55" s="293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92"/>
      <c r="D56" s="292"/>
      <c r="E56" s="292"/>
      <c r="F56" s="292"/>
      <c r="G56" s="292"/>
      <c r="H56" s="292"/>
      <c r="I56" s="292"/>
      <c r="J56" s="292"/>
      <c r="K56" s="292"/>
      <c r="L56" s="292"/>
      <c r="M56" s="293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92"/>
      <c r="D57" s="292"/>
      <c r="E57" s="292"/>
      <c r="F57" s="292"/>
      <c r="G57" s="292"/>
      <c r="H57" s="292"/>
      <c r="I57" s="292"/>
      <c r="J57" s="292"/>
      <c r="K57" s="292"/>
      <c r="L57" s="292"/>
      <c r="M57" s="293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92"/>
      <c r="D58" s="292"/>
      <c r="E58" s="292"/>
      <c r="F58" s="292"/>
      <c r="G58" s="292"/>
      <c r="H58" s="292"/>
      <c r="I58" s="292"/>
      <c r="J58" s="292"/>
      <c r="K58" s="292"/>
      <c r="L58" s="292"/>
      <c r="M58" s="293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92"/>
      <c r="D59" s="292"/>
      <c r="E59" s="292"/>
      <c r="F59" s="292"/>
      <c r="G59" s="292"/>
      <c r="H59" s="292"/>
      <c r="I59" s="292"/>
      <c r="J59" s="292"/>
      <c r="K59" s="292"/>
      <c r="L59" s="292"/>
      <c r="M59" s="293"/>
    </row>
    <row r="60" spans="1:256" x14ac:dyDescent="0.2">
      <c r="A60" s="218"/>
      <c r="B60" s="219"/>
      <c r="C60" s="292"/>
      <c r="D60" s="292"/>
      <c r="E60" s="292"/>
      <c r="F60" s="292"/>
      <c r="G60" s="292"/>
      <c r="H60" s="292"/>
      <c r="I60" s="292"/>
      <c r="J60" s="292"/>
      <c r="K60" s="292"/>
      <c r="L60" s="292"/>
      <c r="M60" s="293"/>
    </row>
    <row r="61" spans="1:256" x14ac:dyDescent="0.2">
      <c r="A61" s="218"/>
      <c r="B61" s="219"/>
      <c r="C61" s="292"/>
      <c r="D61" s="292"/>
      <c r="E61" s="292"/>
      <c r="F61" s="292"/>
      <c r="G61" s="292"/>
      <c r="H61" s="292"/>
      <c r="I61" s="292"/>
      <c r="J61" s="292"/>
      <c r="K61" s="292"/>
      <c r="L61" s="292"/>
      <c r="M61" s="293"/>
    </row>
    <row r="62" spans="1:256" x14ac:dyDescent="0.2">
      <c r="A62" s="218"/>
      <c r="B62" s="219"/>
      <c r="C62" s="292"/>
      <c r="D62" s="292"/>
      <c r="E62" s="292"/>
      <c r="F62" s="292"/>
      <c r="G62" s="292"/>
      <c r="H62" s="292"/>
      <c r="I62" s="292"/>
      <c r="J62" s="292"/>
      <c r="K62" s="292"/>
      <c r="L62" s="292"/>
      <c r="M62" s="293"/>
    </row>
    <row r="63" spans="1:256" x14ac:dyDescent="0.2">
      <c r="A63" s="218"/>
      <c r="B63" s="219"/>
      <c r="C63" s="292"/>
      <c r="D63" s="292"/>
      <c r="E63" s="292"/>
      <c r="F63" s="292"/>
      <c r="G63" s="292"/>
      <c r="H63" s="292"/>
      <c r="I63" s="292"/>
      <c r="J63" s="292"/>
      <c r="K63" s="292"/>
      <c r="L63" s="292"/>
      <c r="M63" s="293"/>
    </row>
    <row r="64" spans="1:256" x14ac:dyDescent="0.2">
      <c r="A64" s="218"/>
      <c r="B64" s="219"/>
      <c r="C64" s="292"/>
      <c r="D64" s="292"/>
      <c r="E64" s="292"/>
      <c r="F64" s="292"/>
      <c r="G64" s="292"/>
      <c r="H64" s="292"/>
      <c r="I64" s="292"/>
      <c r="J64" s="292"/>
      <c r="K64" s="292"/>
      <c r="L64" s="292"/>
      <c r="M64" s="293"/>
    </row>
    <row r="65" spans="1:13" x14ac:dyDescent="0.2">
      <c r="A65" s="218"/>
      <c r="B65" s="219"/>
      <c r="C65" s="292"/>
      <c r="D65" s="292"/>
      <c r="E65" s="292"/>
      <c r="F65" s="292"/>
      <c r="G65" s="292"/>
      <c r="H65" s="292"/>
      <c r="I65" s="292"/>
      <c r="J65" s="292"/>
      <c r="K65" s="292"/>
      <c r="L65" s="292"/>
      <c r="M65" s="293"/>
    </row>
    <row r="66" spans="1:13" x14ac:dyDescent="0.2">
      <c r="A66" s="218"/>
      <c r="B66" s="219"/>
      <c r="C66" s="292"/>
      <c r="D66" s="292"/>
      <c r="E66" s="292"/>
      <c r="F66" s="292"/>
      <c r="G66" s="292"/>
      <c r="H66" s="292"/>
      <c r="I66" s="292"/>
      <c r="J66" s="292"/>
      <c r="K66" s="292"/>
      <c r="L66" s="292"/>
      <c r="M66" s="293"/>
    </row>
    <row r="67" spans="1:13" x14ac:dyDescent="0.2">
      <c r="A67" s="218"/>
      <c r="B67" s="219"/>
      <c r="C67" s="292"/>
      <c r="D67" s="292"/>
      <c r="E67" s="292"/>
      <c r="F67" s="292"/>
      <c r="G67" s="292"/>
      <c r="H67" s="292"/>
      <c r="I67" s="292"/>
      <c r="J67" s="292"/>
      <c r="K67" s="292"/>
      <c r="L67" s="292"/>
      <c r="M67" s="293"/>
    </row>
    <row r="68" spans="1:13" x14ac:dyDescent="0.2">
      <c r="A68" s="218"/>
      <c r="B68" s="219"/>
      <c r="C68" s="292"/>
      <c r="D68" s="292"/>
      <c r="E68" s="292"/>
      <c r="F68" s="292"/>
      <c r="G68" s="292"/>
      <c r="H68" s="292"/>
      <c r="I68" s="292"/>
      <c r="J68" s="292"/>
      <c r="K68" s="292"/>
      <c r="L68" s="292"/>
      <c r="M68" s="293"/>
    </row>
    <row r="69" spans="1:13" x14ac:dyDescent="0.2">
      <c r="A69" s="218"/>
      <c r="B69" s="219"/>
      <c r="C69" s="292"/>
      <c r="D69" s="292"/>
      <c r="E69" s="292"/>
      <c r="F69" s="292"/>
      <c r="G69" s="292"/>
      <c r="H69" s="292"/>
      <c r="I69" s="292"/>
      <c r="J69" s="292"/>
      <c r="K69" s="292"/>
      <c r="L69" s="292"/>
      <c r="M69" s="293"/>
    </row>
    <row r="70" spans="1:13" ht="12" thickBot="1" x14ac:dyDescent="0.25">
      <c r="A70" s="220"/>
      <c r="B70" s="221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96" t="s">
        <v>848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1"/>
      <c r="D73" s="291"/>
      <c r="E73" s="291"/>
      <c r="F73" s="291"/>
      <c r="G73" s="291"/>
      <c r="H73" s="291"/>
      <c r="I73" s="291"/>
      <c r="J73" s="291"/>
      <c r="K73" s="291"/>
      <c r="L73" s="291"/>
      <c r="M73" s="291"/>
    </row>
    <row r="74" spans="1:13" x14ac:dyDescent="0.2">
      <c r="A74" s="211"/>
      <c r="B74" s="211"/>
      <c r="C74" s="291"/>
      <c r="D74" s="291"/>
      <c r="E74" s="291"/>
      <c r="F74" s="291"/>
      <c r="G74" s="291"/>
      <c r="H74" s="291"/>
      <c r="I74" s="291"/>
      <c r="J74" s="291"/>
      <c r="K74" s="291"/>
      <c r="L74" s="291"/>
      <c r="M74" s="291"/>
    </row>
    <row r="75" spans="1:13" x14ac:dyDescent="0.2">
      <c r="A75" s="211"/>
      <c r="B75" s="211"/>
      <c r="C75" s="291"/>
      <c r="D75" s="291"/>
      <c r="E75" s="291"/>
      <c r="F75" s="291"/>
      <c r="G75" s="291"/>
      <c r="H75" s="291"/>
      <c r="I75" s="291"/>
      <c r="J75" s="291"/>
      <c r="K75" s="291"/>
      <c r="L75" s="291"/>
      <c r="M75" s="291"/>
    </row>
    <row r="76" spans="1:13" x14ac:dyDescent="0.2">
      <c r="A76" s="211"/>
      <c r="B76" s="211"/>
      <c r="C76" s="291"/>
      <c r="D76" s="291"/>
      <c r="E76" s="291"/>
      <c r="F76" s="291"/>
      <c r="G76" s="291"/>
      <c r="H76" s="291"/>
      <c r="I76" s="291"/>
      <c r="J76" s="291"/>
      <c r="K76" s="291"/>
      <c r="L76" s="291"/>
      <c r="M76" s="291"/>
    </row>
    <row r="77" spans="1:13" x14ac:dyDescent="0.2">
      <c r="A77" s="211"/>
      <c r="B77" s="211"/>
      <c r="C77" s="291"/>
      <c r="D77" s="291"/>
      <c r="E77" s="291"/>
      <c r="F77" s="291"/>
      <c r="G77" s="291"/>
      <c r="H77" s="291"/>
      <c r="I77" s="291"/>
      <c r="J77" s="291"/>
      <c r="K77" s="291"/>
      <c r="L77" s="291"/>
      <c r="M77" s="291"/>
    </row>
    <row r="78" spans="1:13" x14ac:dyDescent="0.2">
      <c r="A78" s="211"/>
      <c r="B78" s="211"/>
      <c r="C78" s="291"/>
      <c r="D78" s="291"/>
      <c r="E78" s="291"/>
      <c r="F78" s="291"/>
      <c r="G78" s="291"/>
      <c r="H78" s="291"/>
      <c r="I78" s="291"/>
      <c r="J78" s="291"/>
      <c r="K78" s="291"/>
      <c r="L78" s="291"/>
      <c r="M78" s="291"/>
    </row>
    <row r="79" spans="1:13" x14ac:dyDescent="0.2">
      <c r="A79" s="211"/>
      <c r="B79" s="211"/>
      <c r="C79" s="291"/>
      <c r="D79" s="291"/>
      <c r="E79" s="291"/>
      <c r="F79" s="291"/>
      <c r="G79" s="291"/>
      <c r="H79" s="291"/>
      <c r="I79" s="291"/>
      <c r="J79" s="291"/>
      <c r="K79" s="291"/>
      <c r="L79" s="291"/>
      <c r="M79" s="291"/>
    </row>
    <row r="80" spans="1:13" x14ac:dyDescent="0.2">
      <c r="A80" s="211"/>
      <c r="B80" s="211"/>
      <c r="C80" s="291"/>
      <c r="D80" s="291"/>
      <c r="E80" s="291"/>
      <c r="F80" s="291"/>
      <c r="G80" s="291"/>
      <c r="H80" s="291"/>
      <c r="I80" s="291"/>
      <c r="J80" s="291"/>
      <c r="K80" s="291"/>
      <c r="L80" s="291"/>
      <c r="M80" s="291"/>
    </row>
    <row r="81" spans="1:13" x14ac:dyDescent="0.2">
      <c r="A81" s="211"/>
      <c r="B81" s="211"/>
      <c r="C81" s="291"/>
      <c r="D81" s="291"/>
      <c r="E81" s="291"/>
      <c r="F81" s="291"/>
      <c r="G81" s="291"/>
      <c r="H81" s="291"/>
      <c r="I81" s="291"/>
      <c r="J81" s="291"/>
      <c r="K81" s="291"/>
      <c r="L81" s="291"/>
      <c r="M81" s="291"/>
    </row>
    <row r="82" spans="1:13" x14ac:dyDescent="0.2">
      <c r="A82" s="211"/>
      <c r="B82" s="211"/>
      <c r="C82" s="291"/>
      <c r="D82" s="291"/>
      <c r="E82" s="291"/>
      <c r="F82" s="291"/>
      <c r="G82" s="291"/>
      <c r="H82" s="291"/>
      <c r="I82" s="291"/>
      <c r="J82" s="291"/>
      <c r="K82" s="291"/>
      <c r="L82" s="291"/>
      <c r="M82" s="291"/>
    </row>
    <row r="83" spans="1:13" x14ac:dyDescent="0.2">
      <c r="A83" s="211"/>
      <c r="B83" s="211"/>
      <c r="C83" s="291"/>
      <c r="D83" s="291"/>
      <c r="E83" s="291"/>
      <c r="F83" s="291"/>
      <c r="G83" s="291"/>
      <c r="H83" s="291"/>
      <c r="I83" s="291"/>
      <c r="J83" s="291"/>
      <c r="K83" s="291"/>
      <c r="L83" s="291"/>
      <c r="M83" s="291"/>
    </row>
    <row r="84" spans="1:13" x14ac:dyDescent="0.2">
      <c r="A84" s="211"/>
      <c r="B84" s="211"/>
      <c r="C84" s="291"/>
      <c r="D84" s="291"/>
      <c r="E84" s="291"/>
      <c r="F84" s="291"/>
      <c r="G84" s="291"/>
      <c r="H84" s="291"/>
      <c r="I84" s="291"/>
      <c r="J84" s="291"/>
      <c r="K84" s="291"/>
      <c r="L84" s="291"/>
      <c r="M84" s="291"/>
    </row>
    <row r="85" spans="1:13" x14ac:dyDescent="0.2">
      <c r="A85" s="211"/>
      <c r="B85" s="211"/>
      <c r="C85" s="291"/>
      <c r="D85" s="291"/>
      <c r="E85" s="291"/>
      <c r="F85" s="291"/>
      <c r="G85" s="291"/>
      <c r="H85" s="291"/>
      <c r="I85" s="291"/>
      <c r="J85" s="291"/>
      <c r="K85" s="291"/>
      <c r="L85" s="291"/>
      <c r="M85" s="291"/>
    </row>
    <row r="86" spans="1:13" x14ac:dyDescent="0.2">
      <c r="A86" s="211"/>
      <c r="B86" s="211"/>
      <c r="C86" s="291"/>
      <c r="D86" s="291"/>
      <c r="E86" s="291"/>
      <c r="F86" s="291"/>
      <c r="G86" s="291"/>
      <c r="H86" s="291"/>
      <c r="I86" s="291"/>
      <c r="J86" s="291"/>
      <c r="K86" s="291"/>
      <c r="L86" s="291"/>
      <c r="M86" s="291"/>
    </row>
    <row r="87" spans="1:13" x14ac:dyDescent="0.2">
      <c r="A87" s="211"/>
      <c r="B87" s="211"/>
      <c r="C87" s="291"/>
      <c r="D87" s="291"/>
      <c r="E87" s="291"/>
      <c r="F87" s="291"/>
      <c r="G87" s="291"/>
      <c r="H87" s="291"/>
      <c r="I87" s="291"/>
      <c r="J87" s="291"/>
      <c r="K87" s="291"/>
      <c r="L87" s="291"/>
      <c r="M87" s="291"/>
    </row>
    <row r="88" spans="1:13" x14ac:dyDescent="0.2">
      <c r="A88" s="211"/>
      <c r="B88" s="211"/>
      <c r="C88" s="291"/>
      <c r="D88" s="291"/>
      <c r="E88" s="291"/>
      <c r="F88" s="291"/>
      <c r="G88" s="291"/>
      <c r="H88" s="291"/>
      <c r="I88" s="291"/>
      <c r="J88" s="291"/>
      <c r="K88" s="291"/>
      <c r="L88" s="291"/>
      <c r="M88" s="291"/>
    </row>
    <row r="89" spans="1:13" x14ac:dyDescent="0.2">
      <c r="A89" s="211"/>
      <c r="B89" s="211"/>
      <c r="C89" s="291"/>
      <c r="D89" s="291"/>
      <c r="E89" s="291"/>
      <c r="F89" s="291"/>
      <c r="G89" s="291"/>
      <c r="H89" s="291"/>
      <c r="I89" s="291"/>
      <c r="J89" s="291"/>
      <c r="K89" s="291"/>
      <c r="L89" s="291"/>
      <c r="M89" s="291"/>
    </row>
    <row r="90" spans="1:13" x14ac:dyDescent="0.2">
      <c r="A90" s="211"/>
      <c r="B90" s="211"/>
      <c r="C90" s="291"/>
      <c r="D90" s="291"/>
      <c r="E90" s="291"/>
      <c r="F90" s="291"/>
      <c r="G90" s="291"/>
      <c r="H90" s="291"/>
      <c r="I90" s="291"/>
      <c r="J90" s="291"/>
      <c r="K90" s="291"/>
      <c r="L90" s="291"/>
      <c r="M90" s="291"/>
    </row>
  </sheetData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7"/>
  <sheetViews>
    <sheetView workbookViewId="0">
      <selection activeCell="K25" sqref="K25"/>
    </sheetView>
  </sheetViews>
  <sheetFormatPr defaultRowHeight="15" x14ac:dyDescent="0.2"/>
  <cols>
    <col min="1" max="1" width="20.33203125" style="275" bestFit="1" customWidth="1"/>
    <col min="2" max="2" width="17.83203125" style="275" bestFit="1" customWidth="1"/>
    <col min="3" max="16384" width="9.33203125" style="275"/>
  </cols>
  <sheetData>
    <row r="1" spans="1:7" x14ac:dyDescent="0.2">
      <c r="A1" s="277"/>
      <c r="B1" s="278"/>
      <c r="C1" s="278"/>
      <c r="D1" s="278"/>
      <c r="E1" s="278"/>
      <c r="F1" s="278"/>
      <c r="G1" s="278"/>
    </row>
    <row r="2" spans="1:7" x14ac:dyDescent="0.2">
      <c r="A2" s="277"/>
      <c r="B2" s="278"/>
      <c r="C2" s="278"/>
      <c r="D2" s="278"/>
      <c r="E2" s="278"/>
      <c r="F2" s="278"/>
      <c r="G2" s="278"/>
    </row>
    <row r="3" spans="1:7" x14ac:dyDescent="0.2">
      <c r="A3" s="277"/>
      <c r="B3" s="277"/>
      <c r="C3" s="278"/>
      <c r="D3" s="278"/>
      <c r="E3" s="278"/>
      <c r="F3" s="278"/>
      <c r="G3" s="278"/>
    </row>
    <row r="4" spans="1:7" x14ac:dyDescent="0.2">
      <c r="A4" s="279"/>
      <c r="B4" s="279"/>
      <c r="C4" s="278"/>
      <c r="D4" s="278"/>
      <c r="E4" s="278"/>
      <c r="F4" s="278"/>
      <c r="G4" s="278"/>
    </row>
    <row r="5" spans="1:7" x14ac:dyDescent="0.2">
      <c r="A5" s="280"/>
      <c r="B5" s="280"/>
      <c r="C5" s="278"/>
      <c r="D5" s="278"/>
      <c r="E5" s="278"/>
      <c r="F5" s="278"/>
      <c r="G5" s="278"/>
    </row>
    <row r="6" spans="1:7" x14ac:dyDescent="0.2">
      <c r="A6" s="280"/>
      <c r="B6" s="280"/>
      <c r="C6" s="278"/>
      <c r="D6" s="278"/>
      <c r="E6" s="278"/>
      <c r="F6" s="278"/>
      <c r="G6" s="278"/>
    </row>
    <row r="7" spans="1:7" x14ac:dyDescent="0.2">
      <c r="A7" s="280"/>
      <c r="B7" s="280"/>
      <c r="C7" s="278"/>
      <c r="D7" s="278"/>
      <c r="E7" s="278"/>
      <c r="F7" s="278"/>
      <c r="G7" s="278"/>
    </row>
    <row r="8" spans="1:7" x14ac:dyDescent="0.2">
      <c r="A8" s="280"/>
      <c r="B8" s="280"/>
      <c r="C8" s="278"/>
      <c r="D8" s="278"/>
      <c r="E8" s="278"/>
      <c r="F8" s="278"/>
      <c r="G8" s="278"/>
    </row>
    <row r="9" spans="1:7" x14ac:dyDescent="0.2">
      <c r="A9" s="280"/>
      <c r="B9" s="280"/>
      <c r="C9" s="278"/>
      <c r="D9" s="278"/>
      <c r="E9" s="278"/>
      <c r="F9" s="278"/>
      <c r="G9" s="278"/>
    </row>
    <row r="10" spans="1:7" x14ac:dyDescent="0.2">
      <c r="A10" s="280"/>
      <c r="B10" s="280"/>
      <c r="C10" s="278"/>
      <c r="D10" s="278"/>
      <c r="E10" s="278"/>
      <c r="F10" s="278"/>
      <c r="G10" s="278"/>
    </row>
    <row r="11" spans="1:7" x14ac:dyDescent="0.2">
      <c r="A11" s="280"/>
      <c r="B11" s="280"/>
      <c r="C11" s="278"/>
      <c r="D11" s="278"/>
      <c r="E11" s="278"/>
      <c r="F11" s="278"/>
      <c r="G11" s="278"/>
    </row>
    <row r="12" spans="1:7" x14ac:dyDescent="0.2">
      <c r="A12" s="280"/>
      <c r="B12" s="280"/>
      <c r="C12" s="278"/>
      <c r="D12" s="278"/>
      <c r="E12" s="278"/>
      <c r="F12" s="278"/>
      <c r="G12" s="278"/>
    </row>
    <row r="13" spans="1:7" x14ac:dyDescent="0.2">
      <c r="A13" s="278"/>
      <c r="B13" s="278"/>
      <c r="C13" s="278"/>
      <c r="D13" s="278"/>
      <c r="E13" s="278"/>
      <c r="F13" s="278"/>
      <c r="G13" s="278"/>
    </row>
    <row r="14" spans="1:7" x14ac:dyDescent="0.2">
      <c r="A14" s="277"/>
      <c r="B14" s="278"/>
      <c r="C14" s="278"/>
      <c r="D14" s="278"/>
      <c r="E14" s="278"/>
      <c r="F14" s="278"/>
      <c r="G14" s="278"/>
    </row>
    <row r="15" spans="1:7" x14ac:dyDescent="0.2">
      <c r="A15" s="277"/>
      <c r="B15" s="278"/>
      <c r="C15" s="278"/>
      <c r="D15" s="278"/>
      <c r="E15" s="278"/>
      <c r="F15" s="278"/>
      <c r="G15" s="278"/>
    </row>
    <row r="16" spans="1:7" x14ac:dyDescent="0.2">
      <c r="A16" s="277"/>
      <c r="B16" s="277"/>
      <c r="C16" s="278"/>
      <c r="D16" s="278"/>
      <c r="E16" s="278"/>
      <c r="F16" s="278"/>
      <c r="G16" s="278"/>
    </row>
    <row r="17" spans="1:7" x14ac:dyDescent="0.2">
      <c r="A17" s="279"/>
      <c r="B17" s="279"/>
      <c r="C17" s="278"/>
      <c r="D17" s="278"/>
      <c r="E17" s="278"/>
      <c r="F17" s="278"/>
      <c r="G17" s="278"/>
    </row>
    <row r="18" spans="1:7" x14ac:dyDescent="0.2">
      <c r="A18" s="280"/>
      <c r="B18" s="280"/>
      <c r="C18" s="278"/>
      <c r="D18" s="278"/>
      <c r="E18" s="278"/>
      <c r="F18" s="278"/>
      <c r="G18" s="278"/>
    </row>
    <row r="19" spans="1:7" x14ac:dyDescent="0.2">
      <c r="A19" s="280"/>
      <c r="B19" s="280"/>
      <c r="C19" s="278"/>
      <c r="D19" s="278"/>
      <c r="E19" s="278"/>
      <c r="F19" s="278"/>
      <c r="G19" s="278"/>
    </row>
    <row r="20" spans="1:7" x14ac:dyDescent="0.2">
      <c r="A20" s="280"/>
      <c r="B20" s="280"/>
      <c r="C20" s="278"/>
      <c r="D20" s="278"/>
      <c r="E20" s="278"/>
      <c r="F20" s="278"/>
      <c r="G20" s="278"/>
    </row>
    <row r="21" spans="1:7" x14ac:dyDescent="0.2">
      <c r="A21" s="278"/>
      <c r="B21" s="280"/>
      <c r="C21" s="278"/>
      <c r="D21" s="278"/>
      <c r="E21" s="278"/>
      <c r="F21" s="278"/>
      <c r="G21" s="278"/>
    </row>
    <row r="22" spans="1:7" x14ac:dyDescent="0.2">
      <c r="A22" s="278"/>
      <c r="B22" s="278"/>
      <c r="C22" s="278"/>
      <c r="D22" s="278"/>
      <c r="E22" s="278"/>
      <c r="F22" s="278"/>
      <c r="G22" s="278"/>
    </row>
    <row r="23" spans="1:7" x14ac:dyDescent="0.2">
      <c r="A23" s="277"/>
      <c r="B23" s="278"/>
      <c r="C23" s="278"/>
      <c r="D23" s="278"/>
      <c r="E23" s="278"/>
      <c r="F23" s="278"/>
      <c r="G23" s="278"/>
    </row>
    <row r="24" spans="1:7" x14ac:dyDescent="0.2">
      <c r="A24" s="277"/>
      <c r="B24" s="277"/>
      <c r="C24" s="278"/>
      <c r="D24" s="278"/>
      <c r="E24" s="278"/>
      <c r="F24" s="278"/>
      <c r="G24" s="278"/>
    </row>
    <row r="25" spans="1:7" x14ac:dyDescent="0.2">
      <c r="A25" s="277"/>
      <c r="B25" s="278"/>
      <c r="C25" s="278"/>
      <c r="D25" s="278"/>
      <c r="E25" s="278"/>
      <c r="F25" s="278"/>
      <c r="G25" s="278"/>
    </row>
    <row r="26" spans="1:7" x14ac:dyDescent="0.2">
      <c r="A26" s="279"/>
      <c r="B26" s="279"/>
      <c r="C26" s="278"/>
      <c r="D26" s="278"/>
      <c r="E26" s="278"/>
      <c r="F26" s="278"/>
      <c r="G26" s="278"/>
    </row>
    <row r="27" spans="1:7" x14ac:dyDescent="0.2">
      <c r="A27" s="280"/>
      <c r="B27" s="280"/>
      <c r="C27" s="278"/>
      <c r="D27" s="278"/>
      <c r="E27" s="278"/>
      <c r="F27" s="278"/>
      <c r="G27" s="278"/>
    </row>
    <row r="28" spans="1:7" x14ac:dyDescent="0.2">
      <c r="A28" s="280"/>
      <c r="B28" s="280"/>
      <c r="C28" s="278"/>
      <c r="D28" s="278"/>
      <c r="E28" s="278"/>
      <c r="F28" s="278"/>
      <c r="G28" s="278"/>
    </row>
    <row r="29" spans="1:7" x14ac:dyDescent="0.2">
      <c r="A29" s="280"/>
      <c r="B29" s="280"/>
      <c r="C29" s="278"/>
      <c r="D29" s="278"/>
      <c r="E29" s="278"/>
      <c r="F29" s="278"/>
      <c r="G29" s="278"/>
    </row>
    <row r="30" spans="1:7" x14ac:dyDescent="0.2">
      <c r="A30" s="279"/>
      <c r="B30" s="280"/>
      <c r="C30" s="278"/>
      <c r="D30" s="278"/>
      <c r="E30" s="278"/>
      <c r="F30" s="278"/>
      <c r="G30" s="278"/>
    </row>
    <row r="31" spans="1:7" x14ac:dyDescent="0.2">
      <c r="A31" s="278"/>
      <c r="B31" s="280"/>
      <c r="C31" s="278"/>
      <c r="D31" s="278"/>
      <c r="E31" s="278"/>
      <c r="F31" s="278"/>
      <c r="G31" s="278"/>
    </row>
    <row r="32" spans="1:7" x14ac:dyDescent="0.2">
      <c r="A32" s="278"/>
      <c r="B32" s="278"/>
      <c r="C32" s="278"/>
      <c r="D32" s="278"/>
      <c r="E32" s="278"/>
      <c r="F32" s="278"/>
      <c r="G32" s="278"/>
    </row>
    <row r="33" spans="1:7" x14ac:dyDescent="0.2">
      <c r="A33" s="277"/>
      <c r="B33" s="278"/>
      <c r="C33" s="278"/>
      <c r="D33" s="278"/>
      <c r="E33" s="278"/>
      <c r="F33" s="278"/>
      <c r="G33" s="278"/>
    </row>
    <row r="34" spans="1:7" x14ac:dyDescent="0.2">
      <c r="A34" s="277"/>
      <c r="B34" s="277"/>
      <c r="C34" s="278"/>
      <c r="D34" s="278"/>
      <c r="E34" s="278"/>
      <c r="F34" s="278"/>
      <c r="G34" s="278"/>
    </row>
    <row r="35" spans="1:7" x14ac:dyDescent="0.2">
      <c r="A35" s="277"/>
      <c r="B35" s="278"/>
      <c r="C35" s="278"/>
      <c r="D35" s="278"/>
      <c r="E35" s="278"/>
      <c r="F35" s="278"/>
      <c r="G35" s="278"/>
    </row>
    <row r="36" spans="1:7" x14ac:dyDescent="0.2">
      <c r="A36" s="279"/>
      <c r="B36" s="279"/>
      <c r="C36" s="278"/>
      <c r="D36" s="278"/>
      <c r="E36" s="278"/>
      <c r="F36" s="278"/>
      <c r="G36" s="278"/>
    </row>
    <row r="37" spans="1:7" x14ac:dyDescent="0.2">
      <c r="A37" s="280"/>
      <c r="B37" s="280"/>
      <c r="C37" s="278"/>
      <c r="D37" s="278"/>
      <c r="E37" s="278"/>
      <c r="F37" s="278"/>
      <c r="G37" s="278"/>
    </row>
    <row r="38" spans="1:7" x14ac:dyDescent="0.2">
      <c r="A38" s="280"/>
      <c r="B38" s="280"/>
      <c r="C38" s="278"/>
      <c r="D38" s="278"/>
      <c r="E38" s="278"/>
      <c r="F38" s="278"/>
      <c r="G38" s="278"/>
    </row>
    <row r="39" spans="1:7" x14ac:dyDescent="0.2">
      <c r="A39" s="278"/>
      <c r="B39" s="278"/>
      <c r="C39" s="278"/>
      <c r="D39" s="278"/>
      <c r="E39" s="278"/>
      <c r="F39" s="278"/>
      <c r="G39" s="278"/>
    </row>
    <row r="40" spans="1:7" x14ac:dyDescent="0.2">
      <c r="A40" s="278"/>
      <c r="B40" s="278"/>
      <c r="C40" s="278"/>
      <c r="D40" s="278"/>
      <c r="E40" s="278"/>
      <c r="F40" s="278"/>
      <c r="G40" s="278"/>
    </row>
    <row r="41" spans="1:7" x14ac:dyDescent="0.2">
      <c r="A41" s="277"/>
      <c r="B41" s="278"/>
      <c r="C41" s="278"/>
      <c r="D41" s="278"/>
      <c r="E41" s="278"/>
      <c r="F41" s="278"/>
      <c r="G41" s="278"/>
    </row>
    <row r="42" spans="1:7" x14ac:dyDescent="0.2">
      <c r="A42" s="277"/>
      <c r="B42" s="277"/>
      <c r="C42" s="278"/>
      <c r="D42" s="278"/>
      <c r="E42" s="278"/>
      <c r="F42" s="278"/>
      <c r="G42" s="278"/>
    </row>
    <row r="43" spans="1:7" x14ac:dyDescent="0.2">
      <c r="A43" s="277"/>
      <c r="B43" s="278"/>
      <c r="C43" s="278"/>
      <c r="D43" s="278"/>
      <c r="E43" s="278"/>
      <c r="F43" s="278"/>
      <c r="G43" s="278"/>
    </row>
    <row r="44" spans="1:7" x14ac:dyDescent="0.2">
      <c r="A44" s="279"/>
      <c r="B44" s="279"/>
      <c r="C44" s="278"/>
      <c r="D44" s="278"/>
      <c r="E44" s="278"/>
      <c r="F44" s="278"/>
      <c r="G44" s="278"/>
    </row>
    <row r="45" spans="1:7" x14ac:dyDescent="0.2">
      <c r="A45" s="278"/>
      <c r="B45" s="278"/>
      <c r="C45" s="278"/>
      <c r="D45" s="278"/>
      <c r="E45" s="278"/>
      <c r="F45" s="278"/>
      <c r="G45" s="278"/>
    </row>
    <row r="46" spans="1:7" x14ac:dyDescent="0.2">
      <c r="A46" s="278"/>
      <c r="B46" s="278"/>
      <c r="C46" s="278"/>
      <c r="D46" s="278"/>
      <c r="E46" s="278"/>
      <c r="F46" s="278"/>
      <c r="G46" s="278"/>
    </row>
    <row r="47" spans="1:7" x14ac:dyDescent="0.2">
      <c r="A47" s="277"/>
      <c r="B47" s="278"/>
      <c r="C47" s="278"/>
      <c r="D47" s="278"/>
      <c r="E47" s="278"/>
      <c r="F47" s="278"/>
      <c r="G47" s="278"/>
    </row>
    <row r="48" spans="1:7" x14ac:dyDescent="0.2">
      <c r="A48" s="277"/>
      <c r="B48" s="278"/>
      <c r="C48" s="278"/>
      <c r="D48" s="278"/>
      <c r="E48" s="278"/>
      <c r="F48" s="278"/>
      <c r="G48" s="278"/>
    </row>
    <row r="49" spans="1:7" x14ac:dyDescent="0.2">
      <c r="A49" s="277"/>
      <c r="B49" s="277"/>
      <c r="C49" s="278"/>
      <c r="D49" s="278"/>
      <c r="E49" s="278"/>
      <c r="F49" s="278"/>
      <c r="G49" s="278"/>
    </row>
    <row r="50" spans="1:7" x14ac:dyDescent="0.2">
      <c r="A50" s="280"/>
      <c r="B50" s="280"/>
      <c r="C50" s="278"/>
      <c r="D50" s="278"/>
      <c r="E50" s="278"/>
      <c r="F50" s="278"/>
      <c r="G50" s="278"/>
    </row>
    <row r="51" spans="1:7" x14ac:dyDescent="0.2">
      <c r="A51" s="278"/>
      <c r="B51" s="278"/>
      <c r="C51" s="278"/>
      <c r="D51" s="278"/>
      <c r="E51" s="278"/>
      <c r="F51" s="278"/>
      <c r="G51" s="278"/>
    </row>
    <row r="52" spans="1:7" x14ac:dyDescent="0.2">
      <c r="A52" s="281"/>
      <c r="B52" s="281"/>
      <c r="C52" s="278"/>
      <c r="D52" s="278"/>
      <c r="E52" s="278"/>
      <c r="F52" s="278"/>
      <c r="G52" s="278"/>
    </row>
    <row r="53" spans="1:7" x14ac:dyDescent="0.2">
      <c r="A53" s="278"/>
      <c r="B53" s="278"/>
      <c r="C53" s="278"/>
      <c r="D53" s="278"/>
      <c r="E53" s="278"/>
      <c r="F53" s="278"/>
      <c r="G53" s="278"/>
    </row>
    <row r="54" spans="1:7" x14ac:dyDescent="0.2">
      <c r="A54" s="278"/>
      <c r="B54" s="278"/>
      <c r="C54" s="278"/>
      <c r="D54" s="278"/>
      <c r="E54" s="278"/>
      <c r="F54" s="278"/>
      <c r="G54" s="278"/>
    </row>
    <row r="55" spans="1:7" x14ac:dyDescent="0.2">
      <c r="A55" s="278"/>
      <c r="B55" s="278"/>
      <c r="C55" s="278"/>
      <c r="D55" s="278"/>
      <c r="E55" s="278"/>
      <c r="F55" s="278"/>
      <c r="G55" s="278"/>
    </row>
    <row r="56" spans="1:7" x14ac:dyDescent="0.2">
      <c r="A56" s="278"/>
      <c r="B56" s="278"/>
      <c r="C56" s="278"/>
      <c r="D56" s="278"/>
      <c r="E56" s="278"/>
      <c r="F56" s="278"/>
      <c r="G56" s="278"/>
    </row>
    <row r="57" spans="1:7" x14ac:dyDescent="0.2">
      <c r="A57" s="278"/>
      <c r="B57" s="278"/>
      <c r="C57" s="278"/>
      <c r="D57" s="278"/>
      <c r="E57" s="278"/>
      <c r="F57" s="278"/>
      <c r="G57" s="278"/>
    </row>
  </sheetData>
  <pageMargins left="0.7" right="0.7" top="0.75" bottom="0.75" header="0.3" footer="0.3"/>
  <pageSetup scale="9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2016-09-20T20:44:07Z</cp:lastPrinted>
  <dcterms:created xsi:type="dcterms:W3CDTF">1997-12-04T19:04:30Z</dcterms:created>
  <dcterms:modified xsi:type="dcterms:W3CDTF">2016-11-29T14:34:09Z</dcterms:modified>
</cp:coreProperties>
</file>